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hlisn\Downloads\"/>
    </mc:Choice>
  </mc:AlternateContent>
  <xr:revisionPtr revIDLastSave="0" documentId="8_{B4EFA7F7-4CBB-409D-99C3-B656E45F0A95}" xr6:coauthVersionLast="47" xr6:coauthVersionMax="47" xr10:uidLastSave="{00000000-0000-0000-0000-000000000000}"/>
  <bookViews>
    <workbookView xWindow="-120" yWindow="-120" windowWidth="29040" windowHeight="15720" firstSheet="5" activeTab="5" xr2:uid="{00000000-000D-0000-FFFF-FFFF00000000}"/>
  </bookViews>
  <sheets>
    <sheet name="2025" sheetId="1" state="hidden" r:id="rId1"/>
    <sheet name="Muži" sheetId="2" state="hidden" r:id="rId2"/>
    <sheet name="Ženy" sheetId="3" state="hidden" r:id="rId3"/>
    <sheet name="Smíšené" sheetId="4" state="hidden" r:id="rId4"/>
    <sheet name="Neregistrovaní" sheetId="5" state="hidden" r:id="rId5"/>
    <sheet name="Vše" sheetId="6" r:id="rId6"/>
    <sheet name="TV" sheetId="7" state="hidden" r:id="rId7"/>
  </sheets>
  <definedNames>
    <definedName name="Excel_BuiltIn__FilterDatabase" localSheetId="0">'2025'!$R$5:$R$127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1" i="7" l="1"/>
  <c r="Y31" i="7"/>
  <c r="W31" i="7"/>
  <c r="U31" i="7"/>
  <c r="T31" i="7"/>
  <c r="P31" i="7"/>
  <c r="O31" i="7"/>
  <c r="N31" i="7"/>
  <c r="M31" i="7"/>
  <c r="L31" i="7"/>
  <c r="K31" i="7"/>
  <c r="J31" i="7"/>
  <c r="I31" i="7"/>
  <c r="H31" i="7"/>
  <c r="G31" i="7"/>
  <c r="F31" i="7"/>
  <c r="E31" i="7"/>
  <c r="D31" i="7"/>
  <c r="C31" i="7"/>
  <c r="B31" i="7"/>
  <c r="AA30" i="7"/>
  <c r="Z30" i="7"/>
  <c r="Y30" i="7"/>
  <c r="X30" i="7"/>
  <c r="W30" i="7"/>
  <c r="V30" i="7"/>
  <c r="U30" i="7"/>
  <c r="T30" i="7"/>
  <c r="S30" i="7"/>
  <c r="R30" i="7"/>
  <c r="Q30" i="7"/>
  <c r="P30" i="7"/>
  <c r="O30" i="7"/>
  <c r="N30" i="7"/>
  <c r="M30" i="7"/>
  <c r="L30" i="7"/>
  <c r="K30" i="7"/>
  <c r="J30" i="7"/>
  <c r="I30" i="7"/>
  <c r="H30" i="7"/>
  <c r="G30" i="7"/>
  <c r="F30" i="7"/>
  <c r="E30" i="7"/>
  <c r="D30" i="7"/>
  <c r="C30" i="7"/>
  <c r="B30" i="7"/>
  <c r="AA29" i="7"/>
  <c r="Y29" i="7"/>
  <c r="W29" i="7"/>
  <c r="U29" i="7"/>
  <c r="T29" i="7"/>
  <c r="P29" i="7"/>
  <c r="O29" i="7"/>
  <c r="N29" i="7"/>
  <c r="M29" i="7"/>
  <c r="L29" i="7"/>
  <c r="K29" i="7"/>
  <c r="J29" i="7"/>
  <c r="I29" i="7"/>
  <c r="H29" i="7"/>
  <c r="G29" i="7"/>
  <c r="F29" i="7"/>
  <c r="E29" i="7"/>
  <c r="D29" i="7"/>
  <c r="C29" i="7"/>
  <c r="B29" i="7"/>
  <c r="AA28" i="7"/>
  <c r="Z28" i="7"/>
  <c r="Y28" i="7"/>
  <c r="X28" i="7"/>
  <c r="W28" i="7"/>
  <c r="V28" i="7"/>
  <c r="U28" i="7"/>
  <c r="T28" i="7"/>
  <c r="S28" i="7"/>
  <c r="R28" i="7"/>
  <c r="Q28" i="7"/>
  <c r="P28" i="7"/>
  <c r="O28" i="7"/>
  <c r="N28" i="7"/>
  <c r="M28" i="7"/>
  <c r="L28" i="7"/>
  <c r="K28" i="7"/>
  <c r="J28" i="7"/>
  <c r="I28" i="7"/>
  <c r="H28" i="7"/>
  <c r="G28" i="7"/>
  <c r="F28" i="7"/>
  <c r="E28" i="7"/>
  <c r="D28" i="7"/>
  <c r="C28" i="7"/>
  <c r="B28" i="7"/>
  <c r="AA27" i="7"/>
  <c r="Y27" i="7"/>
  <c r="W27" i="7"/>
  <c r="U27" i="7"/>
  <c r="T27" i="7"/>
  <c r="P27" i="7"/>
  <c r="O27" i="7"/>
  <c r="N27" i="7"/>
  <c r="M27" i="7"/>
  <c r="L27" i="7"/>
  <c r="K27" i="7"/>
  <c r="J27" i="7"/>
  <c r="I27" i="7"/>
  <c r="H27" i="7"/>
  <c r="G27" i="7"/>
  <c r="F27" i="7"/>
  <c r="E27" i="7"/>
  <c r="D27" i="7"/>
  <c r="C27" i="7"/>
  <c r="B27" i="7"/>
  <c r="AA26" i="7"/>
  <c r="Z26" i="7"/>
  <c r="Y26" i="7"/>
  <c r="X26" i="7"/>
  <c r="W26" i="7"/>
  <c r="V26" i="7"/>
  <c r="U26" i="7"/>
  <c r="T26" i="7"/>
  <c r="S26" i="7"/>
  <c r="R26" i="7"/>
  <c r="Q26" i="7"/>
  <c r="P26" i="7"/>
  <c r="O26" i="7"/>
  <c r="N26" i="7"/>
  <c r="M26" i="7"/>
  <c r="L26" i="7"/>
  <c r="K26" i="7"/>
  <c r="J26" i="7"/>
  <c r="I26" i="7"/>
  <c r="H26" i="7"/>
  <c r="G26" i="7"/>
  <c r="F26" i="7"/>
  <c r="E26" i="7"/>
  <c r="D26" i="7"/>
  <c r="C26" i="7"/>
  <c r="B26" i="7"/>
  <c r="AA25" i="7"/>
  <c r="Y25" i="7"/>
  <c r="W25" i="7"/>
  <c r="U25" i="7"/>
  <c r="T25" i="7"/>
  <c r="P25" i="7"/>
  <c r="O25" i="7"/>
  <c r="N25" i="7"/>
  <c r="M25" i="7"/>
  <c r="L25" i="7"/>
  <c r="K25" i="7"/>
  <c r="J25" i="7"/>
  <c r="I25" i="7"/>
  <c r="H25" i="7"/>
  <c r="G25" i="7"/>
  <c r="F25" i="7"/>
  <c r="E25" i="7"/>
  <c r="D25" i="7"/>
  <c r="C25" i="7"/>
  <c r="B25" i="7"/>
  <c r="AA24" i="7"/>
  <c r="Z24" i="7"/>
  <c r="Y24" i="7"/>
  <c r="X24" i="7"/>
  <c r="W24" i="7"/>
  <c r="V24" i="7"/>
  <c r="U24" i="7"/>
  <c r="T24" i="7"/>
  <c r="S24" i="7"/>
  <c r="R24" i="7"/>
  <c r="Q24" i="7"/>
  <c r="P24" i="7"/>
  <c r="O24" i="7"/>
  <c r="N24" i="7"/>
  <c r="M24" i="7"/>
  <c r="L24" i="7"/>
  <c r="K24" i="7"/>
  <c r="J24" i="7"/>
  <c r="I24" i="7"/>
  <c r="H24" i="7"/>
  <c r="G24" i="7"/>
  <c r="F24" i="7"/>
  <c r="E24" i="7"/>
  <c r="D24" i="7"/>
  <c r="C24" i="7"/>
  <c r="B24" i="7"/>
  <c r="AA23" i="7"/>
  <c r="Y23" i="7"/>
  <c r="W23" i="7"/>
  <c r="U23" i="7"/>
  <c r="T23" i="7"/>
  <c r="P23" i="7"/>
  <c r="O23" i="7"/>
  <c r="N23" i="7"/>
  <c r="M23" i="7"/>
  <c r="L23" i="7"/>
  <c r="K23" i="7"/>
  <c r="J23" i="7"/>
  <c r="I23" i="7"/>
  <c r="H23" i="7"/>
  <c r="G23" i="7"/>
  <c r="F23" i="7"/>
  <c r="E23" i="7"/>
  <c r="D23" i="7"/>
  <c r="C23" i="7"/>
  <c r="B23" i="7"/>
  <c r="AA22" i="7"/>
  <c r="Z22" i="7"/>
  <c r="Y22" i="7"/>
  <c r="X22" i="7"/>
  <c r="W22" i="7"/>
  <c r="V22" i="7"/>
  <c r="U22" i="7"/>
  <c r="T22" i="7"/>
  <c r="S22" i="7"/>
  <c r="R22" i="7"/>
  <c r="Q22" i="7"/>
  <c r="P22" i="7"/>
  <c r="O22" i="7"/>
  <c r="N22" i="7"/>
  <c r="M22" i="7"/>
  <c r="L22" i="7"/>
  <c r="K22" i="7"/>
  <c r="J22" i="7"/>
  <c r="I22" i="7"/>
  <c r="H22" i="7"/>
  <c r="G22" i="7"/>
  <c r="F22" i="7"/>
  <c r="E22" i="7"/>
  <c r="D22" i="7"/>
  <c r="C22" i="7"/>
  <c r="B22" i="7"/>
  <c r="AA21" i="7"/>
  <c r="Y21" i="7"/>
  <c r="W21" i="7"/>
  <c r="U21" i="7"/>
  <c r="T21" i="7"/>
  <c r="P21" i="7"/>
  <c r="O21" i="7"/>
  <c r="N21" i="7"/>
  <c r="M21" i="7"/>
  <c r="L21" i="7"/>
  <c r="K21" i="7"/>
  <c r="J21" i="7"/>
  <c r="I21" i="7"/>
  <c r="H21" i="7"/>
  <c r="G21" i="7"/>
  <c r="F21" i="7"/>
  <c r="E21" i="7"/>
  <c r="D21" i="7"/>
  <c r="C21" i="7"/>
  <c r="B21" i="7"/>
  <c r="AA20" i="7"/>
  <c r="Z20" i="7"/>
  <c r="Y20" i="7"/>
  <c r="X20" i="7"/>
  <c r="W20" i="7"/>
  <c r="V20" i="7"/>
  <c r="U20" i="7"/>
  <c r="T20" i="7"/>
  <c r="S20" i="7"/>
  <c r="R20" i="7"/>
  <c r="Q20" i="7"/>
  <c r="P20" i="7"/>
  <c r="O20" i="7"/>
  <c r="N20" i="7"/>
  <c r="M20" i="7"/>
  <c r="L20" i="7"/>
  <c r="K20" i="7"/>
  <c r="J20" i="7"/>
  <c r="I20" i="7"/>
  <c r="H20" i="7"/>
  <c r="G20" i="7"/>
  <c r="F20" i="7"/>
  <c r="E20" i="7"/>
  <c r="D20" i="7"/>
  <c r="C20" i="7"/>
  <c r="B20" i="7"/>
  <c r="AA19" i="7"/>
  <c r="Y19" i="7"/>
  <c r="W19" i="7"/>
  <c r="U19" i="7"/>
  <c r="T19" i="7"/>
  <c r="P19" i="7"/>
  <c r="O19" i="7"/>
  <c r="N19" i="7"/>
  <c r="M19" i="7"/>
  <c r="L19" i="7"/>
  <c r="K19" i="7"/>
  <c r="J19" i="7"/>
  <c r="I19" i="7"/>
  <c r="H19" i="7"/>
  <c r="G19" i="7"/>
  <c r="F19" i="7"/>
  <c r="E19" i="7"/>
  <c r="D19" i="7"/>
  <c r="C19" i="7"/>
  <c r="B19" i="7"/>
  <c r="AA18" i="7"/>
  <c r="Z18" i="7"/>
  <c r="Y18" i="7"/>
  <c r="X18" i="7"/>
  <c r="W18" i="7"/>
  <c r="V18" i="7"/>
  <c r="U18" i="7"/>
  <c r="T18" i="7"/>
  <c r="S18" i="7"/>
  <c r="R18" i="7"/>
  <c r="Q18" i="7"/>
  <c r="P18" i="7"/>
  <c r="O18" i="7"/>
  <c r="N18" i="7"/>
  <c r="M18" i="7"/>
  <c r="L18" i="7"/>
  <c r="K18" i="7"/>
  <c r="J18" i="7"/>
  <c r="I18" i="7"/>
  <c r="H18" i="7"/>
  <c r="G18" i="7"/>
  <c r="F18" i="7"/>
  <c r="E18" i="7"/>
  <c r="D18" i="7"/>
  <c r="C18" i="7"/>
  <c r="B18" i="7"/>
  <c r="AA17" i="7"/>
  <c r="Y17" i="7"/>
  <c r="W17" i="7"/>
  <c r="U17" i="7"/>
  <c r="T17" i="7"/>
  <c r="P17" i="7"/>
  <c r="O17" i="7"/>
  <c r="N17" i="7"/>
  <c r="M17" i="7"/>
  <c r="L17" i="7"/>
  <c r="K17" i="7"/>
  <c r="J17" i="7"/>
  <c r="I17" i="7"/>
  <c r="H17" i="7"/>
  <c r="G17" i="7"/>
  <c r="F17" i="7"/>
  <c r="E17" i="7"/>
  <c r="D17" i="7"/>
  <c r="C17" i="7"/>
  <c r="B17" i="7"/>
  <c r="AA16" i="7"/>
  <c r="Z16" i="7"/>
  <c r="Y16" i="7"/>
  <c r="X16" i="7"/>
  <c r="W16" i="7"/>
  <c r="V16" i="7"/>
  <c r="U16" i="7"/>
  <c r="T16" i="7"/>
  <c r="S16" i="7"/>
  <c r="R16" i="7"/>
  <c r="Q16" i="7"/>
  <c r="P16" i="7"/>
  <c r="O16" i="7"/>
  <c r="N16" i="7"/>
  <c r="M16" i="7"/>
  <c r="L16" i="7"/>
  <c r="K16" i="7"/>
  <c r="J16" i="7"/>
  <c r="I16" i="7"/>
  <c r="H16" i="7"/>
  <c r="G16" i="7"/>
  <c r="F16" i="7"/>
  <c r="E16" i="7"/>
  <c r="D16" i="7"/>
  <c r="C16" i="7"/>
  <c r="B16" i="7"/>
  <c r="AA15" i="7"/>
  <c r="Y15" i="7"/>
  <c r="W15" i="7"/>
  <c r="U15" i="7"/>
  <c r="T15" i="7"/>
  <c r="P15" i="7"/>
  <c r="O15" i="7"/>
  <c r="N15" i="7"/>
  <c r="M15" i="7"/>
  <c r="L15" i="7"/>
  <c r="K15" i="7"/>
  <c r="J15" i="7"/>
  <c r="I15" i="7"/>
  <c r="H15" i="7"/>
  <c r="G15" i="7"/>
  <c r="F15" i="7"/>
  <c r="E15" i="7"/>
  <c r="D15" i="7"/>
  <c r="C15" i="7"/>
  <c r="B15" i="7"/>
  <c r="AA14" i="7"/>
  <c r="Z14" i="7"/>
  <c r="Y14" i="7"/>
  <c r="X14" i="7"/>
  <c r="W14" i="7"/>
  <c r="V14" i="7"/>
  <c r="U14" i="7"/>
  <c r="T14" i="7"/>
  <c r="S14" i="7"/>
  <c r="R14" i="7"/>
  <c r="Q14" i="7"/>
  <c r="P14" i="7"/>
  <c r="O14" i="7"/>
  <c r="N14" i="7"/>
  <c r="M14" i="7"/>
  <c r="L14" i="7"/>
  <c r="K14" i="7"/>
  <c r="J14" i="7"/>
  <c r="I14" i="7"/>
  <c r="H14" i="7"/>
  <c r="G14" i="7"/>
  <c r="F14" i="7"/>
  <c r="E14" i="7"/>
  <c r="D14" i="7"/>
  <c r="C14" i="7"/>
  <c r="B14" i="7"/>
  <c r="AA13" i="7"/>
  <c r="Y13" i="7"/>
  <c r="W13" i="7"/>
  <c r="U13" i="7"/>
  <c r="T13" i="7"/>
  <c r="P13" i="7"/>
  <c r="O13" i="7"/>
  <c r="N13" i="7"/>
  <c r="M13" i="7"/>
  <c r="L13" i="7"/>
  <c r="K13" i="7"/>
  <c r="J13" i="7"/>
  <c r="I13" i="7"/>
  <c r="H13" i="7"/>
  <c r="G13" i="7"/>
  <c r="F13" i="7"/>
  <c r="E13" i="7"/>
  <c r="D13" i="7"/>
  <c r="C13" i="7"/>
  <c r="B13" i="7"/>
  <c r="AA12" i="7"/>
  <c r="Z12" i="7"/>
  <c r="Y12" i="7"/>
  <c r="X12" i="7"/>
  <c r="W12" i="7"/>
  <c r="V12" i="7"/>
  <c r="U12" i="7"/>
  <c r="T12" i="7"/>
  <c r="S12" i="7"/>
  <c r="R12" i="7"/>
  <c r="Q12" i="7"/>
  <c r="P12" i="7"/>
  <c r="O12" i="7"/>
  <c r="N12" i="7"/>
  <c r="M12" i="7"/>
  <c r="L12" i="7"/>
  <c r="K12" i="7"/>
  <c r="J12" i="7"/>
  <c r="I12" i="7"/>
  <c r="H12" i="7"/>
  <c r="G12" i="7"/>
  <c r="F12" i="7"/>
  <c r="E12" i="7"/>
  <c r="D12" i="7"/>
  <c r="C12" i="7"/>
  <c r="B12" i="7"/>
  <c r="AA11" i="7"/>
  <c r="Y11" i="7"/>
  <c r="W11" i="7"/>
  <c r="U11" i="7"/>
  <c r="T11" i="7"/>
  <c r="P11" i="7"/>
  <c r="O11" i="7"/>
  <c r="N11" i="7"/>
  <c r="M11" i="7"/>
  <c r="L11" i="7"/>
  <c r="K11" i="7"/>
  <c r="J11" i="7"/>
  <c r="I11" i="7"/>
  <c r="H11" i="7"/>
  <c r="G11" i="7"/>
  <c r="F11" i="7"/>
  <c r="E11" i="7"/>
  <c r="D11" i="7"/>
  <c r="C11" i="7"/>
  <c r="B11" i="7"/>
  <c r="AA10" i="7"/>
  <c r="Z10" i="7"/>
  <c r="Y10" i="7"/>
  <c r="X10" i="7"/>
  <c r="W10" i="7"/>
  <c r="V10" i="7"/>
  <c r="U10" i="7"/>
  <c r="T10" i="7"/>
  <c r="S10" i="7"/>
  <c r="R10" i="7"/>
  <c r="Q10" i="7"/>
  <c r="P10" i="7"/>
  <c r="O10" i="7"/>
  <c r="N10" i="7"/>
  <c r="M10" i="7"/>
  <c r="L10" i="7"/>
  <c r="K10" i="7"/>
  <c r="J10" i="7"/>
  <c r="I10" i="7"/>
  <c r="H10" i="7"/>
  <c r="G10" i="7"/>
  <c r="F10" i="7"/>
  <c r="E10" i="7"/>
  <c r="D10" i="7"/>
  <c r="C10" i="7"/>
  <c r="B10" i="7"/>
  <c r="AA9" i="7"/>
  <c r="Y9" i="7"/>
  <c r="W9" i="7"/>
  <c r="U9" i="7"/>
  <c r="T9" i="7"/>
  <c r="P9" i="7"/>
  <c r="O9" i="7"/>
  <c r="N9" i="7"/>
  <c r="M9" i="7"/>
  <c r="L9" i="7"/>
  <c r="K9" i="7"/>
  <c r="J9" i="7"/>
  <c r="I9" i="7"/>
  <c r="H9" i="7"/>
  <c r="G9" i="7"/>
  <c r="F9" i="7"/>
  <c r="E9" i="7"/>
  <c r="D9" i="7"/>
  <c r="C9" i="7"/>
  <c r="B9" i="7"/>
  <c r="AA8" i="7"/>
  <c r="Z8" i="7"/>
  <c r="Y8" i="7"/>
  <c r="X8" i="7"/>
  <c r="W8" i="7"/>
  <c r="V8" i="7"/>
  <c r="U8" i="7"/>
  <c r="T8" i="7"/>
  <c r="S8" i="7"/>
  <c r="R8" i="7"/>
  <c r="Q8" i="7"/>
  <c r="P8" i="7"/>
  <c r="O8" i="7"/>
  <c r="N8" i="7"/>
  <c r="M8" i="7"/>
  <c r="L8" i="7"/>
  <c r="K8" i="7"/>
  <c r="J8" i="7"/>
  <c r="I8" i="7"/>
  <c r="H8" i="7"/>
  <c r="G8" i="7"/>
  <c r="F8" i="7"/>
  <c r="E8" i="7"/>
  <c r="D8" i="7"/>
  <c r="C8" i="7"/>
  <c r="B8" i="7"/>
  <c r="AA7" i="7"/>
  <c r="Y7" i="7"/>
  <c r="W7" i="7"/>
  <c r="U7" i="7"/>
  <c r="T7" i="7"/>
  <c r="P7" i="7"/>
  <c r="O7" i="7"/>
  <c r="N7" i="7"/>
  <c r="M7" i="7"/>
  <c r="L7" i="7"/>
  <c r="K7" i="7"/>
  <c r="J7" i="7"/>
  <c r="I7" i="7"/>
  <c r="H7" i="7"/>
  <c r="G7" i="7"/>
  <c r="F7" i="7"/>
  <c r="E7" i="7"/>
  <c r="D7" i="7"/>
  <c r="C7" i="7"/>
  <c r="B7" i="7"/>
  <c r="AA6" i="7"/>
  <c r="Z6" i="7"/>
  <c r="Y6" i="7"/>
  <c r="X6" i="7"/>
  <c r="W6" i="7"/>
  <c r="V6" i="7"/>
  <c r="U6" i="7"/>
  <c r="T6" i="7"/>
  <c r="S6" i="7"/>
  <c r="R6" i="7"/>
  <c r="Q6" i="7"/>
  <c r="P6" i="7"/>
  <c r="O6" i="7"/>
  <c r="N6" i="7"/>
  <c r="M6" i="7"/>
  <c r="L6" i="7"/>
  <c r="K6" i="7"/>
  <c r="J6" i="7"/>
  <c r="I6" i="7"/>
  <c r="H6" i="7"/>
  <c r="G6" i="7"/>
  <c r="F6" i="7"/>
  <c r="E6" i="7"/>
  <c r="D6" i="7"/>
  <c r="C6" i="7"/>
  <c r="B6" i="7"/>
  <c r="AA5" i="7"/>
  <c r="Y5" i="7"/>
  <c r="W5" i="7"/>
  <c r="U5" i="7"/>
  <c r="T5" i="7"/>
  <c r="P5" i="7"/>
  <c r="O5" i="7"/>
  <c r="N5" i="7"/>
  <c r="M5" i="7"/>
  <c r="L5" i="7"/>
  <c r="K5" i="7"/>
  <c r="J5" i="7"/>
  <c r="I5" i="7"/>
  <c r="H5" i="7"/>
  <c r="G5" i="7"/>
  <c r="F5" i="7"/>
  <c r="E5" i="7"/>
  <c r="D5" i="7"/>
  <c r="C5" i="7"/>
  <c r="B5" i="7"/>
  <c r="AA4" i="7"/>
  <c r="Z4" i="7"/>
  <c r="Y4" i="7"/>
  <c r="X4" i="7"/>
  <c r="W4" i="7"/>
  <c r="V4" i="7"/>
  <c r="U4" i="7"/>
  <c r="T4" i="7"/>
  <c r="S4" i="7"/>
  <c r="R4" i="7"/>
  <c r="Q4" i="7"/>
  <c r="P4" i="7"/>
  <c r="O4" i="7"/>
  <c r="N4" i="7"/>
  <c r="M4" i="7"/>
  <c r="L4" i="7"/>
  <c r="K4" i="7"/>
  <c r="J4" i="7"/>
  <c r="I4" i="7"/>
  <c r="H4" i="7"/>
  <c r="G4" i="7"/>
  <c r="F4" i="7"/>
  <c r="E4" i="7"/>
  <c r="D4" i="7"/>
  <c r="C4" i="7"/>
  <c r="B4" i="7"/>
  <c r="AA3" i="7"/>
  <c r="Y3" i="7"/>
  <c r="W3" i="7"/>
  <c r="U3" i="7"/>
  <c r="T3" i="7"/>
  <c r="P3" i="7"/>
  <c r="O3" i="7"/>
  <c r="N3" i="7"/>
  <c r="M3" i="7"/>
  <c r="L3" i="7"/>
  <c r="K3" i="7"/>
  <c r="J3" i="7"/>
  <c r="I3" i="7"/>
  <c r="H3" i="7"/>
  <c r="G3" i="7"/>
  <c r="F3" i="7"/>
  <c r="E3" i="7"/>
  <c r="D3" i="7"/>
  <c r="C3" i="7"/>
  <c r="B3" i="7"/>
  <c r="AA2" i="7"/>
  <c r="Z2" i="7"/>
  <c r="Y2" i="7"/>
  <c r="X2" i="7"/>
  <c r="W2" i="7"/>
  <c r="V2" i="7"/>
  <c r="U2" i="7"/>
  <c r="T2" i="7"/>
  <c r="S2" i="7"/>
  <c r="R2" i="7"/>
  <c r="Q2" i="7"/>
  <c r="P2" i="7"/>
  <c r="O2" i="7"/>
  <c r="N2" i="7"/>
  <c r="M2" i="7"/>
  <c r="L2" i="7"/>
  <c r="K2" i="7"/>
  <c r="J2" i="7"/>
  <c r="I2" i="7"/>
  <c r="H2" i="7"/>
  <c r="G2" i="7"/>
  <c r="F2" i="7"/>
  <c r="E2" i="7"/>
  <c r="D2" i="7"/>
  <c r="C2" i="7"/>
  <c r="B2" i="7"/>
  <c r="AA1" i="7"/>
  <c r="Z1" i="7"/>
  <c r="Y1" i="7"/>
  <c r="X1" i="7"/>
  <c r="W1" i="7"/>
  <c r="V1" i="7"/>
  <c r="U1" i="7"/>
  <c r="T1" i="7"/>
  <c r="S1" i="7"/>
  <c r="R1" i="7"/>
  <c r="Q1" i="7"/>
  <c r="P1" i="7"/>
  <c r="O1" i="7"/>
  <c r="N1" i="7"/>
  <c r="M1" i="7"/>
  <c r="L1" i="7"/>
  <c r="K1" i="7"/>
  <c r="J1" i="7"/>
  <c r="I1" i="7"/>
  <c r="H1" i="7"/>
  <c r="G1" i="7"/>
  <c r="F1" i="7"/>
  <c r="E1" i="7"/>
  <c r="D1" i="7"/>
  <c r="C1" i="7"/>
  <c r="B1" i="7"/>
  <c r="Z106" i="6"/>
  <c r="X106" i="6"/>
  <c r="V106" i="6"/>
  <c r="Z105" i="6"/>
  <c r="Y105" i="6"/>
  <c r="X105" i="6"/>
  <c r="W105" i="6"/>
  <c r="V105" i="6"/>
  <c r="Z104" i="6"/>
  <c r="X104" i="6"/>
  <c r="V104" i="6"/>
  <c r="Z103" i="6"/>
  <c r="Y103" i="6"/>
  <c r="X103" i="6"/>
  <c r="W103" i="6"/>
  <c r="V103" i="6"/>
  <c r="Z102" i="6"/>
  <c r="X102" i="6"/>
  <c r="V102" i="6"/>
  <c r="Z101" i="6"/>
  <c r="Y101" i="6"/>
  <c r="X101" i="6"/>
  <c r="W101" i="6"/>
  <c r="V101" i="6"/>
  <c r="Z100" i="6"/>
  <c r="X100" i="6"/>
  <c r="V100" i="6"/>
  <c r="Z99" i="6"/>
  <c r="Y99" i="6"/>
  <c r="X99" i="6"/>
  <c r="W99" i="6"/>
  <c r="V99" i="6"/>
  <c r="Z98" i="6"/>
  <c r="X98" i="6"/>
  <c r="V98" i="6"/>
  <c r="Z97" i="6"/>
  <c r="Y97" i="6"/>
  <c r="X97" i="6"/>
  <c r="W97" i="6"/>
  <c r="V97" i="6"/>
  <c r="Z96" i="6"/>
  <c r="X96" i="6"/>
  <c r="V96" i="6"/>
  <c r="Z95" i="6"/>
  <c r="Y95" i="6"/>
  <c r="X95" i="6"/>
  <c r="W95" i="6"/>
  <c r="V95" i="6"/>
  <c r="Z94" i="6"/>
  <c r="X94" i="6"/>
  <c r="V94" i="6"/>
  <c r="Z93" i="6"/>
  <c r="Y93" i="6"/>
  <c r="X93" i="6"/>
  <c r="W93" i="6"/>
  <c r="V93" i="6"/>
  <c r="Z92" i="6"/>
  <c r="X92" i="6"/>
  <c r="V92" i="6"/>
  <c r="Z91" i="6"/>
  <c r="Y91" i="6"/>
  <c r="X91" i="6"/>
  <c r="W91" i="6"/>
  <c r="V91" i="6"/>
  <c r="Z90" i="6"/>
  <c r="X90" i="6"/>
  <c r="V90" i="6"/>
  <c r="Z89" i="6"/>
  <c r="Y89" i="6"/>
  <c r="X89" i="6"/>
  <c r="W89" i="6"/>
  <c r="V89" i="6"/>
  <c r="Z88" i="6"/>
  <c r="X88" i="6"/>
  <c r="V88" i="6"/>
  <c r="Z87" i="6"/>
  <c r="Y87" i="6"/>
  <c r="X87" i="6"/>
  <c r="W87" i="6"/>
  <c r="V87" i="6"/>
  <c r="Z86" i="6"/>
  <c r="X86" i="6"/>
  <c r="V86" i="6"/>
  <c r="Z85" i="6"/>
  <c r="Y85" i="6"/>
  <c r="X85" i="6"/>
  <c r="W85" i="6"/>
  <c r="V85" i="6"/>
  <c r="Z84" i="6"/>
  <c r="X84" i="6"/>
  <c r="V84" i="6"/>
  <c r="Z83" i="6"/>
  <c r="Y83" i="6"/>
  <c r="X83" i="6"/>
  <c r="W83" i="6"/>
  <c r="V83" i="6"/>
  <c r="Z82" i="6"/>
  <c r="X82" i="6"/>
  <c r="V82" i="6"/>
  <c r="Z81" i="6"/>
  <c r="Y81" i="6"/>
  <c r="X81" i="6"/>
  <c r="W81" i="6"/>
  <c r="V81" i="6"/>
  <c r="Z80" i="6"/>
  <c r="X80" i="6"/>
  <c r="V80" i="6"/>
  <c r="Z79" i="6"/>
  <c r="Y79" i="6"/>
  <c r="X79" i="6"/>
  <c r="W79" i="6"/>
  <c r="V79" i="6"/>
  <c r="Z78" i="6"/>
  <c r="X78" i="6"/>
  <c r="V78" i="6"/>
  <c r="Z77" i="6"/>
  <c r="Y77" i="6"/>
  <c r="X77" i="6"/>
  <c r="W77" i="6"/>
  <c r="V77" i="6"/>
  <c r="Z76" i="6"/>
  <c r="X76" i="6"/>
  <c r="V76" i="6"/>
  <c r="Z75" i="6"/>
  <c r="Y75" i="6"/>
  <c r="X75" i="6"/>
  <c r="W75" i="6"/>
  <c r="V75" i="6"/>
  <c r="Z74" i="6"/>
  <c r="X74" i="6"/>
  <c r="V74" i="6"/>
  <c r="Z73" i="6"/>
  <c r="Y73" i="6"/>
  <c r="X73" i="6"/>
  <c r="W73" i="6"/>
  <c r="V73" i="6"/>
  <c r="Z72" i="6"/>
  <c r="X72" i="6"/>
  <c r="V72" i="6"/>
  <c r="Z71" i="6"/>
  <c r="Y71" i="6"/>
  <c r="X71" i="6"/>
  <c r="W71" i="6"/>
  <c r="V71" i="6"/>
  <c r="Z70" i="6"/>
  <c r="X70" i="6"/>
  <c r="V70" i="6"/>
  <c r="Z69" i="6"/>
  <c r="Y69" i="6"/>
  <c r="X69" i="6"/>
  <c r="W69" i="6"/>
  <c r="V69" i="6"/>
  <c r="Z68" i="6"/>
  <c r="X68" i="6"/>
  <c r="V68" i="6"/>
  <c r="Z67" i="6"/>
  <c r="Y67" i="6"/>
  <c r="X67" i="6"/>
  <c r="W67" i="6"/>
  <c r="V67" i="6"/>
  <c r="Z66" i="6"/>
  <c r="X66" i="6"/>
  <c r="V66" i="6"/>
  <c r="Z65" i="6"/>
  <c r="Y65" i="6"/>
  <c r="X65" i="6"/>
  <c r="W65" i="6"/>
  <c r="V65" i="6"/>
  <c r="Z64" i="6"/>
  <c r="X64" i="6"/>
  <c r="V64" i="6"/>
  <c r="Z63" i="6"/>
  <c r="Y63" i="6"/>
  <c r="X63" i="6"/>
  <c r="W63" i="6"/>
  <c r="V63" i="6"/>
  <c r="Z62" i="6"/>
  <c r="X62" i="6"/>
  <c r="V62" i="6"/>
  <c r="Z61" i="6"/>
  <c r="Y61" i="6"/>
  <c r="X61" i="6"/>
  <c r="W61" i="6"/>
  <c r="V61" i="6"/>
  <c r="Z60" i="6"/>
  <c r="X60" i="6"/>
  <c r="V60" i="6"/>
  <c r="Z59" i="6"/>
  <c r="Y59" i="6"/>
  <c r="X59" i="6"/>
  <c r="W59" i="6"/>
  <c r="V59" i="6"/>
  <c r="Z58" i="6"/>
  <c r="X58" i="6"/>
  <c r="V58" i="6"/>
  <c r="Z57" i="6"/>
  <c r="Y57" i="6"/>
  <c r="X57" i="6"/>
  <c r="W57" i="6"/>
  <c r="V57" i="6"/>
  <c r="Z56" i="6"/>
  <c r="X56" i="6"/>
  <c r="V56" i="6"/>
  <c r="Z55" i="6"/>
  <c r="Y55" i="6"/>
  <c r="X55" i="6"/>
  <c r="W55" i="6"/>
  <c r="V55" i="6"/>
  <c r="Z54" i="6"/>
  <c r="X54" i="6"/>
  <c r="V54" i="6"/>
  <c r="Z53" i="6"/>
  <c r="Y53" i="6"/>
  <c r="X53" i="6"/>
  <c r="W53" i="6"/>
  <c r="V53" i="6"/>
  <c r="Z52" i="6"/>
  <c r="X52" i="6"/>
  <c r="V52" i="6"/>
  <c r="Z51" i="6"/>
  <c r="Y51" i="6"/>
  <c r="X51" i="6"/>
  <c r="W51" i="6"/>
  <c r="V51" i="6"/>
  <c r="Z50" i="6"/>
  <c r="X50" i="6"/>
  <c r="V50" i="6"/>
  <c r="Z49" i="6"/>
  <c r="Y49" i="6"/>
  <c r="X49" i="6"/>
  <c r="W49" i="6"/>
  <c r="V49" i="6"/>
  <c r="Z48" i="6"/>
  <c r="X48" i="6"/>
  <c r="V48" i="6"/>
  <c r="Z47" i="6"/>
  <c r="Y47" i="6"/>
  <c r="X47" i="6"/>
  <c r="W47" i="6"/>
  <c r="V47" i="6"/>
  <c r="Z46" i="6"/>
  <c r="X46" i="6"/>
  <c r="V46" i="6"/>
  <c r="Z45" i="6"/>
  <c r="Y45" i="6"/>
  <c r="X45" i="6"/>
  <c r="W45" i="6"/>
  <c r="V45" i="6"/>
  <c r="Z44" i="6"/>
  <c r="X44" i="6"/>
  <c r="V44" i="6"/>
  <c r="Z43" i="6"/>
  <c r="Y43" i="6"/>
  <c r="X43" i="6"/>
  <c r="W43" i="6"/>
  <c r="V43" i="6"/>
  <c r="Z42" i="6"/>
  <c r="X42" i="6"/>
  <c r="V42" i="6"/>
  <c r="Z41" i="6"/>
  <c r="Y41" i="6"/>
  <c r="X41" i="6"/>
  <c r="W41" i="6"/>
  <c r="V41" i="6"/>
  <c r="Z40" i="6"/>
  <c r="X40" i="6"/>
  <c r="V40" i="6"/>
  <c r="Z39" i="6"/>
  <c r="Y39" i="6"/>
  <c r="X39" i="6"/>
  <c r="W39" i="6"/>
  <c r="V39" i="6"/>
  <c r="Z38" i="6"/>
  <c r="X38" i="6"/>
  <c r="V38" i="6"/>
  <c r="Z37" i="6"/>
  <c r="Y37" i="6"/>
  <c r="X37" i="6"/>
  <c r="W37" i="6"/>
  <c r="V37" i="6"/>
  <c r="Z36" i="6"/>
  <c r="X36" i="6"/>
  <c r="V36" i="6"/>
  <c r="Z35" i="6"/>
  <c r="Y35" i="6"/>
  <c r="X35" i="6"/>
  <c r="W35" i="6"/>
  <c r="V35" i="6"/>
  <c r="Z34" i="6"/>
  <c r="X34" i="6"/>
  <c r="V34" i="6"/>
  <c r="Z33" i="6"/>
  <c r="Y33" i="6"/>
  <c r="X33" i="6"/>
  <c r="W33" i="6"/>
  <c r="V33" i="6"/>
  <c r="Z32" i="6"/>
  <c r="X32" i="6"/>
  <c r="V32" i="6"/>
  <c r="Z31" i="6"/>
  <c r="Y31" i="6"/>
  <c r="X31" i="6"/>
  <c r="W31" i="6"/>
  <c r="V31" i="6"/>
  <c r="Z30" i="6"/>
  <c r="X30" i="6"/>
  <c r="V30" i="6"/>
  <c r="Z29" i="6"/>
  <c r="Y29" i="6"/>
  <c r="X29" i="6"/>
  <c r="W29" i="6"/>
  <c r="V29" i="6"/>
  <c r="Z28" i="6"/>
  <c r="X28" i="6"/>
  <c r="V28" i="6"/>
  <c r="Z27" i="6"/>
  <c r="Y27" i="6"/>
  <c r="X27" i="6"/>
  <c r="W27" i="6"/>
  <c r="V27" i="6"/>
  <c r="Z26" i="6"/>
  <c r="X26" i="6"/>
  <c r="V26" i="6"/>
  <c r="Z25" i="6"/>
  <c r="Y25" i="6"/>
  <c r="X25" i="6"/>
  <c r="W25" i="6"/>
  <c r="V25" i="6"/>
  <c r="Z24" i="6"/>
  <c r="X24" i="6"/>
  <c r="V24" i="6"/>
  <c r="Z23" i="6"/>
  <c r="Y23" i="6"/>
  <c r="X23" i="6"/>
  <c r="W23" i="6"/>
  <c r="V23" i="6"/>
  <c r="Z22" i="6"/>
  <c r="X22" i="6"/>
  <c r="V22" i="6"/>
  <c r="Z21" i="6"/>
  <c r="Y21" i="6"/>
  <c r="X21" i="6"/>
  <c r="W21" i="6"/>
  <c r="V21" i="6"/>
  <c r="Z20" i="6"/>
  <c r="X20" i="6"/>
  <c r="V20" i="6"/>
  <c r="Z19" i="6"/>
  <c r="Y19" i="6"/>
  <c r="X19" i="6"/>
  <c r="W19" i="6"/>
  <c r="V19" i="6"/>
  <c r="Z18" i="6"/>
  <c r="X18" i="6"/>
  <c r="V18" i="6"/>
  <c r="Z17" i="6"/>
  <c r="Y17" i="6"/>
  <c r="X17" i="6"/>
  <c r="W17" i="6"/>
  <c r="V17" i="6"/>
  <c r="Z16" i="6"/>
  <c r="X16" i="6"/>
  <c r="V16" i="6"/>
  <c r="Z15" i="6"/>
  <c r="Y15" i="6"/>
  <c r="X15" i="6"/>
  <c r="W15" i="6"/>
  <c r="V15" i="6"/>
  <c r="Z14" i="6"/>
  <c r="X14" i="6"/>
  <c r="V14" i="6"/>
  <c r="Z13" i="6"/>
  <c r="Y13" i="6"/>
  <c r="X13" i="6"/>
  <c r="W13" i="6"/>
  <c r="V13" i="6"/>
  <c r="Z12" i="6"/>
  <c r="X12" i="6"/>
  <c r="V12" i="6"/>
  <c r="Z11" i="6"/>
  <c r="Y11" i="6"/>
  <c r="X11" i="6"/>
  <c r="W11" i="6"/>
  <c r="V11" i="6"/>
  <c r="Z10" i="6"/>
  <c r="X10" i="6"/>
  <c r="V10" i="6"/>
  <c r="Z9" i="6"/>
  <c r="Y9" i="6"/>
  <c r="X9" i="6"/>
  <c r="W9" i="6"/>
  <c r="V9" i="6"/>
  <c r="Z8" i="6"/>
  <c r="X8" i="6"/>
  <c r="V8" i="6"/>
  <c r="Z7" i="6"/>
  <c r="Y7" i="6"/>
  <c r="X7" i="6"/>
  <c r="W7" i="6"/>
  <c r="V7" i="6"/>
  <c r="Z6" i="6"/>
  <c r="X6" i="6"/>
  <c r="V6" i="6"/>
  <c r="Z5" i="6"/>
  <c r="Y5" i="6"/>
  <c r="X5" i="6"/>
  <c r="W5" i="6"/>
  <c r="V5" i="6"/>
  <c r="Z4" i="6"/>
  <c r="X4" i="6"/>
  <c r="V4" i="6"/>
  <c r="Z3" i="6"/>
  <c r="Y3" i="6"/>
  <c r="X3" i="6"/>
  <c r="W3" i="6"/>
  <c r="V3" i="6"/>
  <c r="Z2" i="6"/>
  <c r="Y2" i="6"/>
  <c r="X2" i="6"/>
  <c r="W2" i="6"/>
  <c r="V2" i="6"/>
  <c r="AA15" i="5"/>
  <c r="Z15" i="5"/>
  <c r="Y15" i="5"/>
  <c r="X15" i="5"/>
  <c r="W15" i="5"/>
  <c r="U15" i="5"/>
  <c r="T15" i="5"/>
  <c r="P15" i="5"/>
  <c r="O15" i="5"/>
  <c r="N15" i="5"/>
  <c r="M15" i="5"/>
  <c r="L15" i="5"/>
  <c r="K15" i="5"/>
  <c r="J15" i="5"/>
  <c r="I15" i="5"/>
  <c r="H15" i="5"/>
  <c r="G15" i="5"/>
  <c r="F15" i="5"/>
  <c r="E15" i="5"/>
  <c r="D15" i="5"/>
  <c r="C15" i="5"/>
  <c r="B15" i="5"/>
  <c r="AA14" i="5"/>
  <c r="Z14" i="5"/>
  <c r="Y14" i="5"/>
  <c r="X14" i="5"/>
  <c r="W14" i="5"/>
  <c r="V14" i="5"/>
  <c r="U14" i="5"/>
  <c r="T14" i="5"/>
  <c r="S14" i="5"/>
  <c r="R14" i="5"/>
  <c r="Q14" i="5"/>
  <c r="P14" i="5"/>
  <c r="O14" i="5"/>
  <c r="N14" i="5"/>
  <c r="M14" i="5"/>
  <c r="L14" i="5"/>
  <c r="K14" i="5"/>
  <c r="J14" i="5"/>
  <c r="I14" i="5"/>
  <c r="H14" i="5"/>
  <c r="G14" i="5"/>
  <c r="F14" i="5"/>
  <c r="E14" i="5"/>
  <c r="D14" i="5"/>
  <c r="C14" i="5"/>
  <c r="B14" i="5"/>
  <c r="AA13" i="5"/>
  <c r="Z13" i="5"/>
  <c r="Y13" i="5"/>
  <c r="X13" i="5"/>
  <c r="W13" i="5"/>
  <c r="U13" i="5"/>
  <c r="T13" i="5"/>
  <c r="P13" i="5"/>
  <c r="O13" i="5"/>
  <c r="N13" i="5"/>
  <c r="M13" i="5"/>
  <c r="L13" i="5"/>
  <c r="K13" i="5"/>
  <c r="J13" i="5"/>
  <c r="I13" i="5"/>
  <c r="H13" i="5"/>
  <c r="G13" i="5"/>
  <c r="F13" i="5"/>
  <c r="E13" i="5"/>
  <c r="D13" i="5"/>
  <c r="C13" i="5"/>
  <c r="B13" i="5"/>
  <c r="AA12" i="5"/>
  <c r="Z12" i="5"/>
  <c r="Y12" i="5"/>
  <c r="X12" i="5"/>
  <c r="W12" i="5"/>
  <c r="V12" i="5"/>
  <c r="U12" i="5"/>
  <c r="T12" i="5"/>
  <c r="S12" i="5"/>
  <c r="R12" i="5"/>
  <c r="Q12" i="5"/>
  <c r="P12" i="5"/>
  <c r="O12" i="5"/>
  <c r="N12" i="5"/>
  <c r="M12" i="5"/>
  <c r="L12" i="5"/>
  <c r="K12" i="5"/>
  <c r="J12" i="5"/>
  <c r="I12" i="5"/>
  <c r="H12" i="5"/>
  <c r="G12" i="5"/>
  <c r="F12" i="5"/>
  <c r="E12" i="5"/>
  <c r="D12" i="5"/>
  <c r="C12" i="5"/>
  <c r="B12" i="5"/>
  <c r="AA11" i="5"/>
  <c r="Z11" i="5"/>
  <c r="Y11" i="5"/>
  <c r="X11" i="5"/>
  <c r="W11" i="5"/>
  <c r="U11" i="5"/>
  <c r="T11" i="5"/>
  <c r="P11" i="5"/>
  <c r="O11" i="5"/>
  <c r="N11" i="5"/>
  <c r="M11" i="5"/>
  <c r="L11" i="5"/>
  <c r="K11" i="5"/>
  <c r="J11" i="5"/>
  <c r="I11" i="5"/>
  <c r="H11" i="5"/>
  <c r="G11" i="5"/>
  <c r="F11" i="5"/>
  <c r="E11" i="5"/>
  <c r="D11" i="5"/>
  <c r="C11" i="5"/>
  <c r="B11" i="5"/>
  <c r="AA10" i="5"/>
  <c r="Z10" i="5"/>
  <c r="Y10" i="5"/>
  <c r="X10" i="5"/>
  <c r="W10" i="5"/>
  <c r="V10" i="5"/>
  <c r="U10" i="5"/>
  <c r="T10" i="5"/>
  <c r="S10" i="5"/>
  <c r="R10" i="5"/>
  <c r="Q10" i="5"/>
  <c r="P10" i="5"/>
  <c r="O10" i="5"/>
  <c r="N10" i="5"/>
  <c r="M10" i="5"/>
  <c r="L10" i="5"/>
  <c r="K10" i="5"/>
  <c r="J10" i="5"/>
  <c r="I10" i="5"/>
  <c r="H10" i="5"/>
  <c r="G10" i="5"/>
  <c r="F10" i="5"/>
  <c r="E10" i="5"/>
  <c r="D10" i="5"/>
  <c r="C10" i="5"/>
  <c r="B10" i="5"/>
  <c r="AA9" i="5"/>
  <c r="Z9" i="5"/>
  <c r="Y9" i="5"/>
  <c r="X9" i="5"/>
  <c r="W9" i="5"/>
  <c r="U9" i="5"/>
  <c r="T9" i="5"/>
  <c r="P9" i="5"/>
  <c r="O9" i="5"/>
  <c r="N9" i="5"/>
  <c r="M9" i="5"/>
  <c r="L9" i="5"/>
  <c r="K9" i="5"/>
  <c r="J9" i="5"/>
  <c r="I9" i="5"/>
  <c r="H9" i="5"/>
  <c r="G9" i="5"/>
  <c r="F9" i="5"/>
  <c r="E9" i="5"/>
  <c r="D9" i="5"/>
  <c r="C9" i="5"/>
  <c r="B9" i="5"/>
  <c r="AA8" i="5"/>
  <c r="Z8" i="5"/>
  <c r="Y8" i="5"/>
  <c r="X8" i="5"/>
  <c r="W8" i="5"/>
  <c r="V8" i="5"/>
  <c r="U8" i="5"/>
  <c r="T8" i="5"/>
  <c r="S8" i="5"/>
  <c r="R8" i="5"/>
  <c r="Q8" i="5"/>
  <c r="P8" i="5"/>
  <c r="O8" i="5"/>
  <c r="N8" i="5"/>
  <c r="M8" i="5"/>
  <c r="L8" i="5"/>
  <c r="K8" i="5"/>
  <c r="J8" i="5"/>
  <c r="I8" i="5"/>
  <c r="H8" i="5"/>
  <c r="G8" i="5"/>
  <c r="F8" i="5"/>
  <c r="E8" i="5"/>
  <c r="D8" i="5"/>
  <c r="C8" i="5"/>
  <c r="B8" i="5"/>
  <c r="AA7" i="5"/>
  <c r="Z7" i="5"/>
  <c r="Y7" i="5"/>
  <c r="X7" i="5"/>
  <c r="W7" i="5"/>
  <c r="U7" i="5"/>
  <c r="T7" i="5"/>
  <c r="P7" i="5"/>
  <c r="O7" i="5"/>
  <c r="N7" i="5"/>
  <c r="M7" i="5"/>
  <c r="L7" i="5"/>
  <c r="K7" i="5"/>
  <c r="J7" i="5"/>
  <c r="I7" i="5"/>
  <c r="H7" i="5"/>
  <c r="G7" i="5"/>
  <c r="F7" i="5"/>
  <c r="E7" i="5"/>
  <c r="D7" i="5"/>
  <c r="C7" i="5"/>
  <c r="B7" i="5"/>
  <c r="AA6" i="5"/>
  <c r="Z6" i="5"/>
  <c r="Y6" i="5"/>
  <c r="X6" i="5"/>
  <c r="W6" i="5"/>
  <c r="V6" i="5"/>
  <c r="U6" i="5"/>
  <c r="T6" i="5"/>
  <c r="S6" i="5"/>
  <c r="R6" i="5"/>
  <c r="Q6" i="5"/>
  <c r="P6" i="5"/>
  <c r="O6" i="5"/>
  <c r="N6" i="5"/>
  <c r="M6" i="5"/>
  <c r="L6" i="5"/>
  <c r="K6" i="5"/>
  <c r="J6" i="5"/>
  <c r="I6" i="5"/>
  <c r="H6" i="5"/>
  <c r="G6" i="5"/>
  <c r="F6" i="5"/>
  <c r="E6" i="5"/>
  <c r="D6" i="5"/>
  <c r="C6" i="5"/>
  <c r="B6" i="5"/>
  <c r="AA5" i="5"/>
  <c r="Z5" i="5"/>
  <c r="Y5" i="5"/>
  <c r="X5" i="5"/>
  <c r="W5" i="5"/>
  <c r="U5" i="5"/>
  <c r="T5" i="5"/>
  <c r="P5" i="5"/>
  <c r="O5" i="5"/>
  <c r="N5" i="5"/>
  <c r="M5" i="5"/>
  <c r="L5" i="5"/>
  <c r="K5" i="5"/>
  <c r="J5" i="5"/>
  <c r="I5" i="5"/>
  <c r="H5" i="5"/>
  <c r="G5" i="5"/>
  <c r="F5" i="5"/>
  <c r="E5" i="5"/>
  <c r="D5" i="5"/>
  <c r="C5" i="5"/>
  <c r="B5" i="5"/>
  <c r="AA4" i="5"/>
  <c r="Z4" i="5"/>
  <c r="Y4" i="5"/>
  <c r="X4" i="5"/>
  <c r="W4" i="5"/>
  <c r="V4" i="5"/>
  <c r="U4" i="5"/>
  <c r="T4" i="5"/>
  <c r="S4" i="5"/>
  <c r="R4" i="5"/>
  <c r="Q4" i="5"/>
  <c r="P4" i="5"/>
  <c r="O4" i="5"/>
  <c r="N4" i="5"/>
  <c r="M4" i="5"/>
  <c r="L4" i="5"/>
  <c r="K4" i="5"/>
  <c r="J4" i="5"/>
  <c r="I4" i="5"/>
  <c r="H4" i="5"/>
  <c r="G4" i="5"/>
  <c r="F4" i="5"/>
  <c r="E4" i="5"/>
  <c r="D4" i="5"/>
  <c r="C4" i="5"/>
  <c r="B4" i="5"/>
  <c r="AA3" i="5"/>
  <c r="Z3" i="5"/>
  <c r="Y3" i="5"/>
  <c r="X3" i="5"/>
  <c r="W3" i="5"/>
  <c r="U3" i="5"/>
  <c r="T3" i="5"/>
  <c r="P3" i="5"/>
  <c r="O3" i="5"/>
  <c r="N3" i="5"/>
  <c r="M3" i="5"/>
  <c r="L3" i="5"/>
  <c r="K3" i="5"/>
  <c r="J3" i="5"/>
  <c r="I3" i="5"/>
  <c r="H3" i="5"/>
  <c r="G3" i="5"/>
  <c r="F3" i="5"/>
  <c r="E3" i="5"/>
  <c r="D3" i="5"/>
  <c r="C3" i="5"/>
  <c r="B3" i="5"/>
  <c r="AA2" i="5"/>
  <c r="Z2" i="5"/>
  <c r="Y2" i="5"/>
  <c r="X2" i="5"/>
  <c r="W2" i="5"/>
  <c r="V2" i="5"/>
  <c r="U2" i="5"/>
  <c r="T2" i="5"/>
  <c r="S2" i="5"/>
  <c r="R2" i="5"/>
  <c r="Q2" i="5"/>
  <c r="P2" i="5"/>
  <c r="O2" i="5"/>
  <c r="N2" i="5"/>
  <c r="M2" i="5"/>
  <c r="L2" i="5"/>
  <c r="K2" i="5"/>
  <c r="J2" i="5"/>
  <c r="I2" i="5"/>
  <c r="H2" i="5"/>
  <c r="G2" i="5"/>
  <c r="F2" i="5"/>
  <c r="E2" i="5"/>
  <c r="D2" i="5"/>
  <c r="C2" i="5"/>
  <c r="B2" i="5"/>
  <c r="AA1" i="5"/>
  <c r="Z1" i="5"/>
  <c r="Y1" i="5"/>
  <c r="X1" i="5"/>
  <c r="W1" i="5"/>
  <c r="V1" i="5"/>
  <c r="U1" i="5"/>
  <c r="T1" i="5"/>
  <c r="S1" i="5"/>
  <c r="R1" i="5"/>
  <c r="Q1" i="5"/>
  <c r="P1" i="5"/>
  <c r="O1" i="5"/>
  <c r="N1" i="5"/>
  <c r="M1" i="5"/>
  <c r="L1" i="5"/>
  <c r="K1" i="5"/>
  <c r="J1" i="5"/>
  <c r="I1" i="5"/>
  <c r="H1" i="5"/>
  <c r="G1" i="5"/>
  <c r="F1" i="5"/>
  <c r="E1" i="5"/>
  <c r="D1" i="5"/>
  <c r="C1" i="5"/>
  <c r="B1" i="5"/>
  <c r="AA9" i="4"/>
  <c r="Z9" i="4"/>
  <c r="Y9" i="4"/>
  <c r="X9" i="4"/>
  <c r="W9" i="4"/>
  <c r="U9" i="4"/>
  <c r="T9" i="4"/>
  <c r="P9" i="4"/>
  <c r="O9" i="4"/>
  <c r="N9" i="4"/>
  <c r="M9" i="4"/>
  <c r="L9" i="4"/>
  <c r="K9" i="4"/>
  <c r="J9" i="4"/>
  <c r="I9" i="4"/>
  <c r="H9" i="4"/>
  <c r="G9" i="4"/>
  <c r="F9" i="4"/>
  <c r="E9" i="4"/>
  <c r="D9" i="4"/>
  <c r="C9" i="4"/>
  <c r="B9" i="4"/>
  <c r="AA8" i="4"/>
  <c r="Z8" i="4"/>
  <c r="Y8" i="4"/>
  <c r="X8" i="4"/>
  <c r="W8" i="4"/>
  <c r="V8" i="4"/>
  <c r="U8" i="4"/>
  <c r="T8" i="4"/>
  <c r="S8" i="4"/>
  <c r="R8" i="4"/>
  <c r="Q8" i="4"/>
  <c r="P8" i="4"/>
  <c r="O8" i="4"/>
  <c r="N8" i="4"/>
  <c r="M8" i="4"/>
  <c r="L8" i="4"/>
  <c r="K8" i="4"/>
  <c r="J8" i="4"/>
  <c r="I8" i="4"/>
  <c r="H8" i="4"/>
  <c r="G8" i="4"/>
  <c r="F8" i="4"/>
  <c r="E8" i="4"/>
  <c r="D8" i="4"/>
  <c r="C8" i="4"/>
  <c r="B8" i="4"/>
  <c r="AA7" i="4"/>
  <c r="Z7" i="4"/>
  <c r="Y7" i="4"/>
  <c r="X7" i="4"/>
  <c r="W7" i="4"/>
  <c r="U7" i="4"/>
  <c r="T7" i="4"/>
  <c r="P7" i="4"/>
  <c r="O7" i="4"/>
  <c r="N7" i="4"/>
  <c r="M7" i="4"/>
  <c r="L7" i="4"/>
  <c r="K7" i="4"/>
  <c r="J7" i="4"/>
  <c r="I7" i="4"/>
  <c r="H7" i="4"/>
  <c r="G7" i="4"/>
  <c r="F7" i="4"/>
  <c r="E7" i="4"/>
  <c r="D7" i="4"/>
  <c r="C7" i="4"/>
  <c r="B7" i="4"/>
  <c r="AA6" i="4"/>
  <c r="Z6" i="4"/>
  <c r="Y6" i="4"/>
  <c r="X6" i="4"/>
  <c r="W6" i="4"/>
  <c r="V6" i="4"/>
  <c r="U6" i="4"/>
  <c r="T6" i="4"/>
  <c r="S6" i="4"/>
  <c r="R6" i="4"/>
  <c r="Q6" i="4"/>
  <c r="P6" i="4"/>
  <c r="O6" i="4"/>
  <c r="N6" i="4"/>
  <c r="M6" i="4"/>
  <c r="L6" i="4"/>
  <c r="K6" i="4"/>
  <c r="J6" i="4"/>
  <c r="I6" i="4"/>
  <c r="H6" i="4"/>
  <c r="G6" i="4"/>
  <c r="F6" i="4"/>
  <c r="E6" i="4"/>
  <c r="D6" i="4"/>
  <c r="C6" i="4"/>
  <c r="B6" i="4"/>
  <c r="AA5" i="4"/>
  <c r="Z5" i="4"/>
  <c r="Y5" i="4"/>
  <c r="X5" i="4"/>
  <c r="W5" i="4"/>
  <c r="U5" i="4"/>
  <c r="T5" i="4"/>
  <c r="P5" i="4"/>
  <c r="O5" i="4"/>
  <c r="N5" i="4"/>
  <c r="M5" i="4"/>
  <c r="L5" i="4"/>
  <c r="K5" i="4"/>
  <c r="J5" i="4"/>
  <c r="I5" i="4"/>
  <c r="H5" i="4"/>
  <c r="G5" i="4"/>
  <c r="F5" i="4"/>
  <c r="E5" i="4"/>
  <c r="D5" i="4"/>
  <c r="C5" i="4"/>
  <c r="B5" i="4"/>
  <c r="AA4" i="4"/>
  <c r="Z4" i="4"/>
  <c r="Y4" i="4"/>
  <c r="X4" i="4"/>
  <c r="W4" i="4"/>
  <c r="V4" i="4"/>
  <c r="U4" i="4"/>
  <c r="T4" i="4"/>
  <c r="S4" i="4"/>
  <c r="R4" i="4"/>
  <c r="Q4" i="4"/>
  <c r="P4" i="4"/>
  <c r="O4" i="4"/>
  <c r="N4" i="4"/>
  <c r="M4" i="4"/>
  <c r="L4" i="4"/>
  <c r="K4" i="4"/>
  <c r="J4" i="4"/>
  <c r="I4" i="4"/>
  <c r="H4" i="4"/>
  <c r="G4" i="4"/>
  <c r="F4" i="4"/>
  <c r="E4" i="4"/>
  <c r="D4" i="4"/>
  <c r="C4" i="4"/>
  <c r="B4" i="4"/>
  <c r="AA3" i="4"/>
  <c r="Z3" i="4"/>
  <c r="Y3" i="4"/>
  <c r="X3" i="4"/>
  <c r="W3" i="4"/>
  <c r="U3" i="4"/>
  <c r="T3" i="4"/>
  <c r="P3" i="4"/>
  <c r="O3" i="4"/>
  <c r="N3" i="4"/>
  <c r="M3" i="4"/>
  <c r="L3" i="4"/>
  <c r="K3" i="4"/>
  <c r="J3" i="4"/>
  <c r="I3" i="4"/>
  <c r="H3" i="4"/>
  <c r="G3" i="4"/>
  <c r="F3" i="4"/>
  <c r="E3" i="4"/>
  <c r="D3" i="4"/>
  <c r="C3" i="4"/>
  <c r="B3" i="4"/>
  <c r="AA2" i="4"/>
  <c r="Z2" i="4"/>
  <c r="Y2" i="4"/>
  <c r="X2" i="4"/>
  <c r="W2" i="4"/>
  <c r="V2" i="4"/>
  <c r="U2" i="4"/>
  <c r="T2" i="4"/>
  <c r="S2" i="4"/>
  <c r="R2" i="4"/>
  <c r="Q2" i="4"/>
  <c r="P2" i="4"/>
  <c r="O2" i="4"/>
  <c r="N2" i="4"/>
  <c r="M2" i="4"/>
  <c r="L2" i="4"/>
  <c r="K2" i="4"/>
  <c r="J2" i="4"/>
  <c r="I2" i="4"/>
  <c r="H2" i="4"/>
  <c r="G2" i="4"/>
  <c r="F2" i="4"/>
  <c r="E2" i="4"/>
  <c r="D2" i="4"/>
  <c r="C2" i="4"/>
  <c r="B2" i="4"/>
  <c r="AA1" i="4"/>
  <c r="Z1" i="4"/>
  <c r="Y1" i="4"/>
  <c r="X1" i="4"/>
  <c r="W1" i="4"/>
  <c r="V1" i="4"/>
  <c r="U1" i="4"/>
  <c r="T1" i="4"/>
  <c r="S1" i="4"/>
  <c r="R1" i="4"/>
  <c r="Q1" i="4"/>
  <c r="P1" i="4"/>
  <c r="O1" i="4"/>
  <c r="N1" i="4"/>
  <c r="M1" i="4"/>
  <c r="L1" i="4"/>
  <c r="K1" i="4"/>
  <c r="J1" i="4"/>
  <c r="I1" i="4"/>
  <c r="H1" i="4"/>
  <c r="G1" i="4"/>
  <c r="F1" i="4"/>
  <c r="E1" i="4"/>
  <c r="D1" i="4"/>
  <c r="C1" i="4"/>
  <c r="B1" i="4"/>
  <c r="AA4" i="3"/>
  <c r="Z4" i="3"/>
  <c r="Y4" i="3"/>
  <c r="X4" i="3"/>
  <c r="W4" i="3"/>
  <c r="V4" i="3"/>
  <c r="U4" i="3"/>
  <c r="T4" i="3"/>
  <c r="S4" i="3"/>
  <c r="R4" i="3"/>
  <c r="Q4" i="3"/>
  <c r="P4" i="3"/>
  <c r="O4" i="3"/>
  <c r="N4" i="3"/>
  <c r="M4" i="3"/>
  <c r="L4" i="3"/>
  <c r="K4" i="3"/>
  <c r="J4" i="3"/>
  <c r="I4" i="3"/>
  <c r="H4" i="3"/>
  <c r="G4" i="3"/>
  <c r="F4" i="3"/>
  <c r="E4" i="3"/>
  <c r="D4" i="3"/>
  <c r="C4" i="3"/>
  <c r="B4" i="3"/>
  <c r="AA3" i="3"/>
  <c r="Z3" i="3"/>
  <c r="Y3" i="3"/>
  <c r="X3" i="3"/>
  <c r="W3" i="3"/>
  <c r="U3" i="3"/>
  <c r="T3" i="3"/>
  <c r="P3" i="3"/>
  <c r="O3" i="3"/>
  <c r="N3" i="3"/>
  <c r="M3" i="3"/>
  <c r="L3" i="3"/>
  <c r="K3" i="3"/>
  <c r="J3" i="3"/>
  <c r="I3" i="3"/>
  <c r="H3" i="3"/>
  <c r="G3" i="3"/>
  <c r="F3" i="3"/>
  <c r="E3" i="3"/>
  <c r="D3" i="3"/>
  <c r="C3" i="3"/>
  <c r="B3" i="3"/>
  <c r="AA2" i="3"/>
  <c r="Z2" i="3"/>
  <c r="Y2" i="3"/>
  <c r="X2" i="3"/>
  <c r="W2" i="3"/>
  <c r="V2" i="3"/>
  <c r="U2" i="3"/>
  <c r="T2" i="3"/>
  <c r="S2" i="3"/>
  <c r="R2" i="3"/>
  <c r="Q2" i="3"/>
  <c r="P2" i="3"/>
  <c r="O2" i="3"/>
  <c r="N2" i="3"/>
  <c r="M2" i="3"/>
  <c r="L2" i="3"/>
  <c r="K2" i="3"/>
  <c r="J2" i="3"/>
  <c r="I2" i="3"/>
  <c r="H2" i="3"/>
  <c r="G2" i="3"/>
  <c r="F2" i="3"/>
  <c r="E2" i="3"/>
  <c r="D2" i="3"/>
  <c r="C2" i="3"/>
  <c r="B2" i="3"/>
  <c r="AA1" i="3"/>
  <c r="Z1" i="3"/>
  <c r="Y1" i="3"/>
  <c r="X1" i="3"/>
  <c r="W1" i="3"/>
  <c r="V1" i="3"/>
  <c r="U1" i="3"/>
  <c r="T1" i="3"/>
  <c r="S1" i="3"/>
  <c r="R1" i="3"/>
  <c r="Q1" i="3"/>
  <c r="P1" i="3"/>
  <c r="O1" i="3"/>
  <c r="N1" i="3"/>
  <c r="M1" i="3"/>
  <c r="L1" i="3"/>
  <c r="K1" i="3"/>
  <c r="J1" i="3"/>
  <c r="I1" i="3"/>
  <c r="H1" i="3"/>
  <c r="G1" i="3"/>
  <c r="F1" i="3"/>
  <c r="E1" i="3"/>
  <c r="D1" i="3"/>
  <c r="C1" i="3"/>
  <c r="B1" i="3"/>
  <c r="AA28" i="2"/>
  <c r="Z28" i="2"/>
  <c r="Y28" i="2"/>
  <c r="X28" i="2"/>
  <c r="W28" i="2"/>
  <c r="V28" i="2"/>
  <c r="U28" i="2"/>
  <c r="T28" i="2"/>
  <c r="S28" i="2"/>
  <c r="R28" i="2"/>
  <c r="Q28" i="2"/>
  <c r="P28" i="2"/>
  <c r="O28" i="2"/>
  <c r="N28" i="2"/>
  <c r="M28" i="2"/>
  <c r="L28" i="2"/>
  <c r="K28" i="2"/>
  <c r="J28" i="2"/>
  <c r="I28" i="2"/>
  <c r="H28" i="2"/>
  <c r="G28" i="2"/>
  <c r="F28" i="2"/>
  <c r="E28" i="2"/>
  <c r="D28" i="2"/>
  <c r="C28" i="2"/>
  <c r="B28" i="2"/>
  <c r="AA27" i="2"/>
  <c r="Z27" i="2"/>
  <c r="Y27" i="2"/>
  <c r="X27" i="2"/>
  <c r="W27" i="2"/>
  <c r="U27" i="2"/>
  <c r="T27" i="2"/>
  <c r="P27" i="2"/>
  <c r="O27" i="2"/>
  <c r="N27" i="2"/>
  <c r="M27" i="2"/>
  <c r="L27" i="2"/>
  <c r="K27" i="2"/>
  <c r="J27" i="2"/>
  <c r="I27" i="2"/>
  <c r="H27" i="2"/>
  <c r="G27" i="2"/>
  <c r="F27" i="2"/>
  <c r="E27" i="2"/>
  <c r="D27" i="2"/>
  <c r="C27" i="2"/>
  <c r="B27" i="2"/>
  <c r="AA26" i="2"/>
  <c r="Z26" i="2"/>
  <c r="Y26" i="2"/>
  <c r="X26" i="2"/>
  <c r="W26" i="2"/>
  <c r="V26" i="2"/>
  <c r="U26" i="2"/>
  <c r="T26" i="2"/>
  <c r="S26" i="2"/>
  <c r="R26" i="2"/>
  <c r="Q26" i="2"/>
  <c r="P26" i="2"/>
  <c r="O26" i="2"/>
  <c r="N26" i="2"/>
  <c r="M26" i="2"/>
  <c r="L26" i="2"/>
  <c r="K26" i="2"/>
  <c r="J26" i="2"/>
  <c r="I26" i="2"/>
  <c r="H26" i="2"/>
  <c r="G26" i="2"/>
  <c r="F26" i="2"/>
  <c r="E26" i="2"/>
  <c r="D26" i="2"/>
  <c r="C26" i="2"/>
  <c r="B26" i="2"/>
  <c r="AA25" i="2"/>
  <c r="Z25" i="2"/>
  <c r="Y25" i="2"/>
  <c r="X25" i="2"/>
  <c r="W25" i="2"/>
  <c r="U25" i="2"/>
  <c r="T25" i="2"/>
  <c r="P25" i="2"/>
  <c r="O25" i="2"/>
  <c r="N25" i="2"/>
  <c r="M25" i="2"/>
  <c r="L25" i="2"/>
  <c r="K25" i="2"/>
  <c r="J25" i="2"/>
  <c r="I25" i="2"/>
  <c r="H25" i="2"/>
  <c r="G25" i="2"/>
  <c r="F25" i="2"/>
  <c r="E25" i="2"/>
  <c r="D25" i="2"/>
  <c r="C25" i="2"/>
  <c r="B25" i="2"/>
  <c r="AA24" i="2"/>
  <c r="Z24" i="2"/>
  <c r="Y24" i="2"/>
  <c r="X24" i="2"/>
  <c r="W24" i="2"/>
  <c r="V24" i="2"/>
  <c r="U24" i="2"/>
  <c r="T24" i="2"/>
  <c r="S24" i="2"/>
  <c r="R24" i="2"/>
  <c r="Q24" i="2"/>
  <c r="P24" i="2"/>
  <c r="O24" i="2"/>
  <c r="N24" i="2"/>
  <c r="M24" i="2"/>
  <c r="L24" i="2"/>
  <c r="K24" i="2"/>
  <c r="J24" i="2"/>
  <c r="I24" i="2"/>
  <c r="H24" i="2"/>
  <c r="G24" i="2"/>
  <c r="F24" i="2"/>
  <c r="E24" i="2"/>
  <c r="D24" i="2"/>
  <c r="C24" i="2"/>
  <c r="B24" i="2"/>
  <c r="AA23" i="2"/>
  <c r="Z23" i="2"/>
  <c r="Y23" i="2"/>
  <c r="X23" i="2"/>
  <c r="W23" i="2"/>
  <c r="U23" i="2"/>
  <c r="T23" i="2"/>
  <c r="P23" i="2"/>
  <c r="O23" i="2"/>
  <c r="N23" i="2"/>
  <c r="M23" i="2"/>
  <c r="L23" i="2"/>
  <c r="K23" i="2"/>
  <c r="J23" i="2"/>
  <c r="I23" i="2"/>
  <c r="H23" i="2"/>
  <c r="G23" i="2"/>
  <c r="F23" i="2"/>
  <c r="E23" i="2"/>
  <c r="D23" i="2"/>
  <c r="C23" i="2"/>
  <c r="B23" i="2"/>
  <c r="AA22" i="2"/>
  <c r="Z22" i="2"/>
  <c r="Y22" i="2"/>
  <c r="X22" i="2"/>
  <c r="W22" i="2"/>
  <c r="V22" i="2"/>
  <c r="U22" i="2"/>
  <c r="T22" i="2"/>
  <c r="S22" i="2"/>
  <c r="R22" i="2"/>
  <c r="Q22" i="2"/>
  <c r="P22" i="2"/>
  <c r="O22" i="2"/>
  <c r="N22" i="2"/>
  <c r="M22" i="2"/>
  <c r="L22" i="2"/>
  <c r="K22" i="2"/>
  <c r="J22" i="2"/>
  <c r="I22" i="2"/>
  <c r="H22" i="2"/>
  <c r="G22" i="2"/>
  <c r="F22" i="2"/>
  <c r="E22" i="2"/>
  <c r="D22" i="2"/>
  <c r="C22" i="2"/>
  <c r="B22" i="2"/>
  <c r="AA21" i="2"/>
  <c r="Z21" i="2"/>
  <c r="Y21" i="2"/>
  <c r="X21" i="2"/>
  <c r="W21" i="2"/>
  <c r="U21" i="2"/>
  <c r="T21" i="2"/>
  <c r="P21" i="2"/>
  <c r="O21" i="2"/>
  <c r="N21" i="2"/>
  <c r="M21" i="2"/>
  <c r="L21" i="2"/>
  <c r="K21" i="2"/>
  <c r="J21" i="2"/>
  <c r="I21" i="2"/>
  <c r="H21" i="2"/>
  <c r="G21" i="2"/>
  <c r="F21" i="2"/>
  <c r="E21" i="2"/>
  <c r="D21" i="2"/>
  <c r="C21" i="2"/>
  <c r="B21" i="2"/>
  <c r="AA20" i="2"/>
  <c r="Z20" i="2"/>
  <c r="Y20" i="2"/>
  <c r="X20" i="2"/>
  <c r="W20" i="2"/>
  <c r="V20" i="2"/>
  <c r="U20" i="2"/>
  <c r="T20" i="2"/>
  <c r="S20" i="2"/>
  <c r="R20" i="2"/>
  <c r="Q20" i="2"/>
  <c r="P20" i="2"/>
  <c r="O20" i="2"/>
  <c r="N20" i="2"/>
  <c r="M20" i="2"/>
  <c r="L20" i="2"/>
  <c r="K20" i="2"/>
  <c r="J20" i="2"/>
  <c r="I20" i="2"/>
  <c r="H20" i="2"/>
  <c r="G20" i="2"/>
  <c r="F20" i="2"/>
  <c r="E20" i="2"/>
  <c r="D20" i="2"/>
  <c r="C20" i="2"/>
  <c r="B20" i="2"/>
  <c r="AA19" i="2"/>
  <c r="Z19" i="2"/>
  <c r="Y19" i="2"/>
  <c r="X19" i="2"/>
  <c r="W19" i="2"/>
  <c r="U19" i="2"/>
  <c r="T19" i="2"/>
  <c r="P19" i="2"/>
  <c r="O19" i="2"/>
  <c r="N19" i="2"/>
  <c r="M19" i="2"/>
  <c r="L19" i="2"/>
  <c r="K19" i="2"/>
  <c r="J19" i="2"/>
  <c r="I19" i="2"/>
  <c r="H19" i="2"/>
  <c r="G19" i="2"/>
  <c r="F19" i="2"/>
  <c r="E19" i="2"/>
  <c r="D19" i="2"/>
  <c r="C19" i="2"/>
  <c r="B19" i="2"/>
  <c r="AA18" i="2"/>
  <c r="Z18" i="2"/>
  <c r="Y18" i="2"/>
  <c r="X18" i="2"/>
  <c r="W18" i="2"/>
  <c r="V18" i="2"/>
  <c r="U18" i="2"/>
  <c r="T18" i="2"/>
  <c r="S18" i="2"/>
  <c r="R18" i="2"/>
  <c r="Q18" i="2"/>
  <c r="P18" i="2"/>
  <c r="O18" i="2"/>
  <c r="N18" i="2"/>
  <c r="M18" i="2"/>
  <c r="L18" i="2"/>
  <c r="K18" i="2"/>
  <c r="J18" i="2"/>
  <c r="I18" i="2"/>
  <c r="H18" i="2"/>
  <c r="G18" i="2"/>
  <c r="F18" i="2"/>
  <c r="E18" i="2"/>
  <c r="D18" i="2"/>
  <c r="C18" i="2"/>
  <c r="B18" i="2"/>
  <c r="AA17" i="2"/>
  <c r="Z17" i="2"/>
  <c r="Y17" i="2"/>
  <c r="X17" i="2"/>
  <c r="W17" i="2"/>
  <c r="U17" i="2"/>
  <c r="T17" i="2"/>
  <c r="P17" i="2"/>
  <c r="O17" i="2"/>
  <c r="N17" i="2"/>
  <c r="M17" i="2"/>
  <c r="L17" i="2"/>
  <c r="K17" i="2"/>
  <c r="J17" i="2"/>
  <c r="I17" i="2"/>
  <c r="H17" i="2"/>
  <c r="G17" i="2"/>
  <c r="F17" i="2"/>
  <c r="E17" i="2"/>
  <c r="D17" i="2"/>
  <c r="C17" i="2"/>
  <c r="B17" i="2"/>
  <c r="AA16" i="2"/>
  <c r="Z16" i="2"/>
  <c r="Y16" i="2"/>
  <c r="X16" i="2"/>
  <c r="W16" i="2"/>
  <c r="V16" i="2"/>
  <c r="U16" i="2"/>
  <c r="T16" i="2"/>
  <c r="S16" i="2"/>
  <c r="R16" i="2"/>
  <c r="Q16" i="2"/>
  <c r="P16" i="2"/>
  <c r="O16" i="2"/>
  <c r="N16" i="2"/>
  <c r="M16" i="2"/>
  <c r="L16" i="2"/>
  <c r="K16" i="2"/>
  <c r="J16" i="2"/>
  <c r="I16" i="2"/>
  <c r="H16" i="2"/>
  <c r="G16" i="2"/>
  <c r="F16" i="2"/>
  <c r="E16" i="2"/>
  <c r="D16" i="2"/>
  <c r="C16" i="2"/>
  <c r="B16" i="2"/>
  <c r="AA15" i="2"/>
  <c r="Z15" i="2"/>
  <c r="Y15" i="2"/>
  <c r="X15" i="2"/>
  <c r="W15" i="2"/>
  <c r="U15" i="2"/>
  <c r="T15" i="2"/>
  <c r="P15" i="2"/>
  <c r="O15" i="2"/>
  <c r="N15" i="2"/>
  <c r="M15" i="2"/>
  <c r="L15" i="2"/>
  <c r="K15" i="2"/>
  <c r="J15" i="2"/>
  <c r="I15" i="2"/>
  <c r="H15" i="2"/>
  <c r="G15" i="2"/>
  <c r="F15" i="2"/>
  <c r="E15" i="2"/>
  <c r="D15" i="2"/>
  <c r="C15" i="2"/>
  <c r="B15" i="2"/>
  <c r="AA14" i="2"/>
  <c r="Z14" i="2"/>
  <c r="Y14" i="2"/>
  <c r="X14" i="2"/>
  <c r="W14" i="2"/>
  <c r="V14" i="2"/>
  <c r="U14" i="2"/>
  <c r="T14" i="2"/>
  <c r="S14" i="2"/>
  <c r="R14" i="2"/>
  <c r="Q14" i="2"/>
  <c r="P14" i="2"/>
  <c r="O14" i="2"/>
  <c r="N14" i="2"/>
  <c r="M14" i="2"/>
  <c r="L14" i="2"/>
  <c r="K14" i="2"/>
  <c r="J14" i="2"/>
  <c r="I14" i="2"/>
  <c r="H14" i="2"/>
  <c r="G14" i="2"/>
  <c r="F14" i="2"/>
  <c r="E14" i="2"/>
  <c r="D14" i="2"/>
  <c r="C14" i="2"/>
  <c r="B14" i="2"/>
  <c r="AA13" i="2"/>
  <c r="Z13" i="2"/>
  <c r="Y13" i="2"/>
  <c r="X13" i="2"/>
  <c r="W13" i="2"/>
  <c r="U13" i="2"/>
  <c r="T13" i="2"/>
  <c r="P13" i="2"/>
  <c r="O13" i="2"/>
  <c r="N13" i="2"/>
  <c r="M13" i="2"/>
  <c r="L13" i="2"/>
  <c r="K13" i="2"/>
  <c r="J13" i="2"/>
  <c r="I13" i="2"/>
  <c r="H13" i="2"/>
  <c r="G13" i="2"/>
  <c r="F13" i="2"/>
  <c r="E13" i="2"/>
  <c r="D13" i="2"/>
  <c r="C13" i="2"/>
  <c r="B13" i="2"/>
  <c r="AA12" i="2"/>
  <c r="Z12" i="2"/>
  <c r="Y12" i="2"/>
  <c r="X12" i="2"/>
  <c r="W12" i="2"/>
  <c r="V12" i="2"/>
  <c r="U12" i="2"/>
  <c r="T12" i="2"/>
  <c r="S12" i="2"/>
  <c r="R12" i="2"/>
  <c r="Q12" i="2"/>
  <c r="P12" i="2"/>
  <c r="O12" i="2"/>
  <c r="N12" i="2"/>
  <c r="M12" i="2"/>
  <c r="L12" i="2"/>
  <c r="K12" i="2"/>
  <c r="J12" i="2"/>
  <c r="I12" i="2"/>
  <c r="H12" i="2"/>
  <c r="G12" i="2"/>
  <c r="F12" i="2"/>
  <c r="E12" i="2"/>
  <c r="D12" i="2"/>
  <c r="C12" i="2"/>
  <c r="B12" i="2"/>
  <c r="AA11" i="2"/>
  <c r="Z11" i="2"/>
  <c r="Y11" i="2"/>
  <c r="X11" i="2"/>
  <c r="W11" i="2"/>
  <c r="U11" i="2"/>
  <c r="T11" i="2"/>
  <c r="P11" i="2"/>
  <c r="O11" i="2"/>
  <c r="N11" i="2"/>
  <c r="M11" i="2"/>
  <c r="L11" i="2"/>
  <c r="K11" i="2"/>
  <c r="J11" i="2"/>
  <c r="I11" i="2"/>
  <c r="H11" i="2"/>
  <c r="G11" i="2"/>
  <c r="F11" i="2"/>
  <c r="E11" i="2"/>
  <c r="D11" i="2"/>
  <c r="C11" i="2"/>
  <c r="B11" i="2"/>
  <c r="AA10" i="2"/>
  <c r="Z10" i="2"/>
  <c r="Y10" i="2"/>
  <c r="X10" i="2"/>
  <c r="W10" i="2"/>
  <c r="V10" i="2"/>
  <c r="U10" i="2"/>
  <c r="T10" i="2"/>
  <c r="S10" i="2"/>
  <c r="R10" i="2"/>
  <c r="Q10" i="2"/>
  <c r="P10" i="2"/>
  <c r="O10" i="2"/>
  <c r="N10" i="2"/>
  <c r="M10" i="2"/>
  <c r="L10" i="2"/>
  <c r="K10" i="2"/>
  <c r="J10" i="2"/>
  <c r="I10" i="2"/>
  <c r="H10" i="2"/>
  <c r="G10" i="2"/>
  <c r="F10" i="2"/>
  <c r="E10" i="2"/>
  <c r="D10" i="2"/>
  <c r="C10" i="2"/>
  <c r="B10" i="2"/>
  <c r="AA9" i="2"/>
  <c r="Z9" i="2"/>
  <c r="Y9" i="2"/>
  <c r="X9" i="2"/>
  <c r="W9" i="2"/>
  <c r="U9" i="2"/>
  <c r="T9" i="2"/>
  <c r="P9" i="2"/>
  <c r="O9" i="2"/>
  <c r="N9" i="2"/>
  <c r="M9" i="2"/>
  <c r="L9" i="2"/>
  <c r="K9" i="2"/>
  <c r="J9" i="2"/>
  <c r="I9" i="2"/>
  <c r="H9" i="2"/>
  <c r="G9" i="2"/>
  <c r="F9" i="2"/>
  <c r="E9" i="2"/>
  <c r="D9" i="2"/>
  <c r="C9" i="2"/>
  <c r="B9" i="2"/>
  <c r="AA8" i="2"/>
  <c r="Z8" i="2"/>
  <c r="Y8" i="2"/>
  <c r="X8" i="2"/>
  <c r="W8" i="2"/>
  <c r="V8" i="2"/>
  <c r="U8" i="2"/>
  <c r="T8" i="2"/>
  <c r="S8" i="2"/>
  <c r="R8" i="2"/>
  <c r="Q8" i="2"/>
  <c r="P8" i="2"/>
  <c r="O8" i="2"/>
  <c r="N8" i="2"/>
  <c r="M8" i="2"/>
  <c r="L8" i="2"/>
  <c r="K8" i="2"/>
  <c r="J8" i="2"/>
  <c r="I8" i="2"/>
  <c r="H8" i="2"/>
  <c r="G8" i="2"/>
  <c r="F8" i="2"/>
  <c r="E8" i="2"/>
  <c r="D8" i="2"/>
  <c r="C8" i="2"/>
  <c r="B8" i="2"/>
  <c r="AA7" i="2"/>
  <c r="Z7" i="2"/>
  <c r="Y7" i="2"/>
  <c r="X7" i="2"/>
  <c r="W7" i="2"/>
  <c r="U7" i="2"/>
  <c r="T7" i="2"/>
  <c r="P7" i="2"/>
  <c r="O7" i="2"/>
  <c r="N7" i="2"/>
  <c r="M7" i="2"/>
  <c r="L7" i="2"/>
  <c r="K7" i="2"/>
  <c r="J7" i="2"/>
  <c r="I7" i="2"/>
  <c r="H7" i="2"/>
  <c r="G7" i="2"/>
  <c r="F7" i="2"/>
  <c r="E7" i="2"/>
  <c r="D7" i="2"/>
  <c r="C7" i="2"/>
  <c r="B7" i="2"/>
  <c r="AA6" i="2"/>
  <c r="Z6" i="2"/>
  <c r="Y6" i="2"/>
  <c r="X6" i="2"/>
  <c r="W6" i="2"/>
  <c r="V6" i="2"/>
  <c r="U6" i="2"/>
  <c r="T6" i="2"/>
  <c r="S6" i="2"/>
  <c r="R6" i="2"/>
  <c r="Q6" i="2"/>
  <c r="P6" i="2"/>
  <c r="O6" i="2"/>
  <c r="N6" i="2"/>
  <c r="M6" i="2"/>
  <c r="L6" i="2"/>
  <c r="K6" i="2"/>
  <c r="J6" i="2"/>
  <c r="I6" i="2"/>
  <c r="H6" i="2"/>
  <c r="G6" i="2"/>
  <c r="F6" i="2"/>
  <c r="E6" i="2"/>
  <c r="D6" i="2"/>
  <c r="C6" i="2"/>
  <c r="B6" i="2"/>
  <c r="AA5" i="2"/>
  <c r="Z5" i="2"/>
  <c r="Y5" i="2"/>
  <c r="X5" i="2"/>
  <c r="W5" i="2"/>
  <c r="U5" i="2"/>
  <c r="T5" i="2"/>
  <c r="P5" i="2"/>
  <c r="O5" i="2"/>
  <c r="N5" i="2"/>
  <c r="M5" i="2"/>
  <c r="L5" i="2"/>
  <c r="K5" i="2"/>
  <c r="J5" i="2"/>
  <c r="I5" i="2"/>
  <c r="H5" i="2"/>
  <c r="G5" i="2"/>
  <c r="F5" i="2"/>
  <c r="E5" i="2"/>
  <c r="D5" i="2"/>
  <c r="C5" i="2"/>
  <c r="B5" i="2"/>
  <c r="AA4" i="2"/>
  <c r="Z4" i="2"/>
  <c r="Y4" i="2"/>
  <c r="X4" i="2"/>
  <c r="W4" i="2"/>
  <c r="V4" i="2"/>
  <c r="U4" i="2"/>
  <c r="T4" i="2"/>
  <c r="S4" i="2"/>
  <c r="R4" i="2"/>
  <c r="Q4" i="2"/>
  <c r="P4" i="2"/>
  <c r="O4" i="2"/>
  <c r="N4" i="2"/>
  <c r="M4" i="2"/>
  <c r="L4" i="2"/>
  <c r="K4" i="2"/>
  <c r="J4" i="2"/>
  <c r="I4" i="2"/>
  <c r="H4" i="2"/>
  <c r="G4" i="2"/>
  <c r="F4" i="2"/>
  <c r="E4" i="2"/>
  <c r="D4" i="2"/>
  <c r="C4" i="2"/>
  <c r="B4" i="2"/>
  <c r="AA3" i="2"/>
  <c r="Z3" i="2"/>
  <c r="Y3" i="2"/>
  <c r="X3" i="2"/>
  <c r="W3" i="2"/>
  <c r="U3" i="2"/>
  <c r="T3" i="2"/>
  <c r="P3" i="2"/>
  <c r="O3" i="2"/>
  <c r="N3" i="2"/>
  <c r="M3" i="2"/>
  <c r="L3" i="2"/>
  <c r="K3" i="2"/>
  <c r="J3" i="2"/>
  <c r="I3" i="2"/>
  <c r="H3" i="2"/>
  <c r="G3" i="2"/>
  <c r="F3" i="2"/>
  <c r="E3" i="2"/>
  <c r="D3" i="2"/>
  <c r="C3" i="2"/>
  <c r="B3" i="2"/>
  <c r="AA2" i="2"/>
  <c r="Z2" i="2"/>
  <c r="Y2" i="2"/>
  <c r="X2" i="2"/>
  <c r="W2" i="2"/>
  <c r="V2" i="2"/>
  <c r="U2" i="2"/>
  <c r="T2" i="2"/>
  <c r="S2" i="2"/>
  <c r="R2" i="2"/>
  <c r="Q2" i="2"/>
  <c r="P2" i="2"/>
  <c r="O2" i="2"/>
  <c r="N2" i="2"/>
  <c r="M2" i="2"/>
  <c r="L2" i="2"/>
  <c r="K2" i="2"/>
  <c r="J2" i="2"/>
  <c r="I2" i="2"/>
  <c r="H2" i="2"/>
  <c r="G2" i="2"/>
  <c r="F2" i="2"/>
  <c r="E2" i="2"/>
  <c r="D2" i="2"/>
  <c r="C2" i="2"/>
  <c r="B2" i="2"/>
  <c r="AA1" i="2"/>
  <c r="Z1" i="2"/>
  <c r="Y1" i="2"/>
  <c r="X1" i="2"/>
  <c r="W1" i="2"/>
  <c r="V1" i="2"/>
  <c r="U1" i="2"/>
  <c r="T1" i="2"/>
  <c r="S1" i="2"/>
  <c r="R1" i="2"/>
  <c r="Q1" i="2"/>
  <c r="P1" i="2"/>
  <c r="O1" i="2"/>
  <c r="N1" i="2"/>
  <c r="M1" i="2"/>
  <c r="L1" i="2"/>
  <c r="K1" i="2"/>
  <c r="J1" i="2"/>
  <c r="I1" i="2"/>
  <c r="H1" i="2"/>
  <c r="G1" i="2"/>
  <c r="F1" i="2"/>
  <c r="E1" i="2"/>
  <c r="D1" i="2"/>
  <c r="C1" i="2"/>
  <c r="B1" i="2"/>
  <c r="AB181" i="1"/>
  <c r="AB180" i="1"/>
  <c r="R180" i="1"/>
  <c r="AB178" i="1"/>
  <c r="AB179" i="1" s="1"/>
  <c r="R178" i="1"/>
  <c r="AB176" i="1"/>
  <c r="AB177" i="1" s="1"/>
  <c r="R176" i="1"/>
  <c r="AB175" i="1"/>
  <c r="AB174" i="1"/>
  <c r="R174" i="1"/>
  <c r="AB173" i="1"/>
  <c r="AB172" i="1"/>
  <c r="R172" i="1"/>
  <c r="AB171" i="1"/>
  <c r="AB170" i="1"/>
  <c r="R170" i="1"/>
  <c r="AB168" i="1"/>
  <c r="AB169" i="1" s="1"/>
  <c r="R168" i="1"/>
  <c r="AB167" i="1"/>
  <c r="AB166" i="1"/>
  <c r="R166" i="1"/>
  <c r="AB165" i="1"/>
  <c r="AB164" i="1"/>
  <c r="R164" i="1"/>
  <c r="AB163" i="1"/>
  <c r="AB162" i="1"/>
  <c r="R162" i="1"/>
  <c r="AB160" i="1"/>
  <c r="AB161" i="1" s="1"/>
  <c r="R160" i="1"/>
  <c r="AB159" i="1"/>
  <c r="AB158" i="1"/>
  <c r="R158" i="1"/>
  <c r="AB157" i="1"/>
  <c r="AB156" i="1"/>
  <c r="R156" i="1"/>
  <c r="AB155" i="1"/>
  <c r="AB154" i="1"/>
  <c r="R154" i="1"/>
  <c r="AB152" i="1"/>
  <c r="AB153" i="1" s="1"/>
  <c r="R152" i="1"/>
  <c r="AB151" i="1"/>
  <c r="AB150" i="1"/>
  <c r="R150" i="1"/>
  <c r="AB149" i="1"/>
  <c r="AB148" i="1"/>
  <c r="R148" i="1"/>
  <c r="AB147" i="1"/>
  <c r="O147" i="1"/>
  <c r="L147" i="1"/>
  <c r="N147" i="1" s="1"/>
  <c r="H147" i="1"/>
  <c r="P147" i="1" s="1"/>
  <c r="AB146" i="1"/>
  <c r="Z146" i="1"/>
  <c r="Z147" i="1" s="1"/>
  <c r="S146" i="1"/>
  <c r="U146" i="1" s="1"/>
  <c r="U147" i="1" s="1"/>
  <c r="P146" i="1"/>
  <c r="Q146" i="1" s="1"/>
  <c r="R146" i="1" s="1"/>
  <c r="O146" i="1"/>
  <c r="T146" i="1" s="1"/>
  <c r="V146" i="1" s="1"/>
  <c r="V147" i="1" s="1"/>
  <c r="N146" i="1"/>
  <c r="M146" i="1"/>
  <c r="L146" i="1"/>
  <c r="H146" i="1"/>
  <c r="U145" i="1"/>
  <c r="O145" i="1"/>
  <c r="N145" i="1"/>
  <c r="M145" i="1"/>
  <c r="L145" i="1"/>
  <c r="P145" i="1" s="1"/>
  <c r="H145" i="1"/>
  <c r="AB144" i="1"/>
  <c r="AB145" i="1" s="1"/>
  <c r="Z144" i="1"/>
  <c r="Z145" i="1" s="1"/>
  <c r="U144" i="1"/>
  <c r="S144" i="1"/>
  <c r="Q144" i="1"/>
  <c r="P144" i="1"/>
  <c r="O144" i="1"/>
  <c r="T144" i="1" s="1"/>
  <c r="V144" i="1" s="1"/>
  <c r="V145" i="1" s="1"/>
  <c r="N144" i="1"/>
  <c r="L144" i="1"/>
  <c r="M144" i="1" s="1"/>
  <c r="H144" i="1"/>
  <c r="Z143" i="1"/>
  <c r="V143" i="1"/>
  <c r="P143" i="1"/>
  <c r="O143" i="1"/>
  <c r="N143" i="1"/>
  <c r="M143" i="1"/>
  <c r="L143" i="1"/>
  <c r="H143" i="1"/>
  <c r="AB142" i="1"/>
  <c r="AB143" i="1" s="1"/>
  <c r="Z142" i="1"/>
  <c r="U142" i="1"/>
  <c r="U143" i="1" s="1"/>
  <c r="S142" i="1"/>
  <c r="P142" i="1"/>
  <c r="Q142" i="1" s="1"/>
  <c r="O142" i="1"/>
  <c r="T142" i="1" s="1"/>
  <c r="V142" i="1" s="1"/>
  <c r="M142" i="1"/>
  <c r="L142" i="1"/>
  <c r="N142" i="1" s="1"/>
  <c r="H142" i="1"/>
  <c r="AB141" i="1"/>
  <c r="Z141" i="1"/>
  <c r="P141" i="1"/>
  <c r="O141" i="1"/>
  <c r="T140" i="1" s="1"/>
  <c r="N141" i="1"/>
  <c r="L141" i="1"/>
  <c r="M141" i="1" s="1"/>
  <c r="H141" i="1"/>
  <c r="AB140" i="1"/>
  <c r="Z140" i="1"/>
  <c r="V140" i="1"/>
  <c r="V141" i="1" s="1"/>
  <c r="S140" i="1"/>
  <c r="U140" i="1" s="1"/>
  <c r="U141" i="1" s="1"/>
  <c r="Q140" i="1"/>
  <c r="R140" i="1" s="1"/>
  <c r="P140" i="1"/>
  <c r="O140" i="1"/>
  <c r="N140" i="1"/>
  <c r="M140" i="1"/>
  <c r="L140" i="1"/>
  <c r="H140" i="1"/>
  <c r="AB139" i="1"/>
  <c r="P139" i="1"/>
  <c r="O139" i="1"/>
  <c r="M139" i="1"/>
  <c r="L139" i="1"/>
  <c r="N139" i="1" s="1"/>
  <c r="H139" i="1"/>
  <c r="AB138" i="1"/>
  <c r="Z138" i="1"/>
  <c r="Z139" i="1" s="1"/>
  <c r="T138" i="1"/>
  <c r="V138" i="1" s="1"/>
  <c r="V139" i="1" s="1"/>
  <c r="S138" i="1"/>
  <c r="U138" i="1" s="1"/>
  <c r="U139" i="1" s="1"/>
  <c r="O138" i="1"/>
  <c r="L138" i="1"/>
  <c r="N138" i="1" s="1"/>
  <c r="H138" i="1"/>
  <c r="P138" i="1" s="1"/>
  <c r="Q138" i="1" s="1"/>
  <c r="Q139" i="1" s="1"/>
  <c r="Z137" i="1"/>
  <c r="P137" i="1"/>
  <c r="O137" i="1"/>
  <c r="N137" i="1"/>
  <c r="M137" i="1"/>
  <c r="L137" i="1"/>
  <c r="H137" i="1"/>
  <c r="AB136" i="1"/>
  <c r="AB137" i="1" s="1"/>
  <c r="Z136" i="1"/>
  <c r="T136" i="1"/>
  <c r="V136" i="1" s="1"/>
  <c r="V137" i="1" s="1"/>
  <c r="S136" i="1"/>
  <c r="U136" i="1" s="1"/>
  <c r="U137" i="1" s="1"/>
  <c r="O136" i="1"/>
  <c r="L136" i="1"/>
  <c r="H136" i="1"/>
  <c r="P136" i="1" s="1"/>
  <c r="Q136" i="1" s="1"/>
  <c r="R136" i="1" s="1"/>
  <c r="AB135" i="1"/>
  <c r="Z135" i="1"/>
  <c r="O135" i="1"/>
  <c r="L135" i="1"/>
  <c r="N135" i="1" s="1"/>
  <c r="H135" i="1"/>
  <c r="P135" i="1" s="1"/>
  <c r="AB134" i="1"/>
  <c r="Z134" i="1"/>
  <c r="U134" i="1"/>
  <c r="U135" i="1" s="1"/>
  <c r="T134" i="1"/>
  <c r="V134" i="1" s="1"/>
  <c r="V135" i="1" s="1"/>
  <c r="S134" i="1"/>
  <c r="P134" i="1"/>
  <c r="Q134" i="1" s="1"/>
  <c r="O134" i="1"/>
  <c r="N134" i="1"/>
  <c r="M134" i="1"/>
  <c r="L134" i="1"/>
  <c r="H134" i="1"/>
  <c r="AB133" i="1"/>
  <c r="O133" i="1"/>
  <c r="T132" i="1" s="1"/>
  <c r="V132" i="1" s="1"/>
  <c r="V133" i="1" s="1"/>
  <c r="L133" i="1"/>
  <c r="H133" i="1"/>
  <c r="P133" i="1" s="1"/>
  <c r="AB132" i="1"/>
  <c r="Z132" i="1"/>
  <c r="Z133" i="1" s="1"/>
  <c r="U132" i="1"/>
  <c r="U133" i="1" s="1"/>
  <c r="S132" i="1"/>
  <c r="O132" i="1"/>
  <c r="N132" i="1"/>
  <c r="L132" i="1"/>
  <c r="M132" i="1" s="1"/>
  <c r="H132" i="1"/>
  <c r="P132" i="1" s="1"/>
  <c r="Q132" i="1" s="1"/>
  <c r="AB131" i="1"/>
  <c r="Z131" i="1"/>
  <c r="P131" i="1"/>
  <c r="O131" i="1"/>
  <c r="N131" i="1"/>
  <c r="M131" i="1"/>
  <c r="L131" i="1"/>
  <c r="H131" i="1"/>
  <c r="AB130" i="1"/>
  <c r="Z130" i="1"/>
  <c r="U130" i="1"/>
  <c r="U131" i="1" s="1"/>
  <c r="S130" i="1"/>
  <c r="O130" i="1"/>
  <c r="T130" i="1" s="1"/>
  <c r="V130" i="1" s="1"/>
  <c r="V131" i="1" s="1"/>
  <c r="L130" i="1"/>
  <c r="H130" i="1"/>
  <c r="P130" i="1" s="1"/>
  <c r="AB129" i="1"/>
  <c r="O129" i="1"/>
  <c r="N129" i="1"/>
  <c r="L129" i="1"/>
  <c r="M129" i="1" s="1"/>
  <c r="H129" i="1"/>
  <c r="P129" i="1" s="1"/>
  <c r="AB128" i="1"/>
  <c r="Z128" i="1"/>
  <c r="Z129" i="1" s="1"/>
  <c r="S128" i="1"/>
  <c r="U128" i="1" s="1"/>
  <c r="U129" i="1" s="1"/>
  <c r="P128" i="1"/>
  <c r="Q128" i="1" s="1"/>
  <c r="R128" i="1" s="1"/>
  <c r="O128" i="1"/>
  <c r="T128" i="1" s="1"/>
  <c r="V128" i="1" s="1"/>
  <c r="V129" i="1" s="1"/>
  <c r="L128" i="1"/>
  <c r="N128" i="1" s="1"/>
  <c r="H128" i="1"/>
  <c r="O127" i="1"/>
  <c r="L127" i="1"/>
  <c r="H127" i="1"/>
  <c r="P127" i="1" s="1"/>
  <c r="AB126" i="1"/>
  <c r="AB127" i="1" s="1"/>
  <c r="Z126" i="1"/>
  <c r="Z127" i="1" s="1"/>
  <c r="T126" i="1"/>
  <c r="V126" i="1" s="1"/>
  <c r="V127" i="1" s="1"/>
  <c r="S126" i="1"/>
  <c r="U126" i="1" s="1"/>
  <c r="U127" i="1" s="1"/>
  <c r="O126" i="1"/>
  <c r="N126" i="1"/>
  <c r="M126" i="1"/>
  <c r="L126" i="1"/>
  <c r="H126" i="1"/>
  <c r="P126" i="1" s="1"/>
  <c r="Q126" i="1" s="1"/>
  <c r="O125" i="1"/>
  <c r="L125" i="1"/>
  <c r="N125" i="1" s="1"/>
  <c r="H125" i="1"/>
  <c r="P125" i="1" s="1"/>
  <c r="B125" i="1"/>
  <c r="AB124" i="1"/>
  <c r="AB125" i="1" s="1"/>
  <c r="Z124" i="1"/>
  <c r="Z125" i="1" s="1"/>
  <c r="V124" i="1"/>
  <c r="V125" i="1" s="1"/>
  <c r="S124" i="1"/>
  <c r="U124" i="1" s="1"/>
  <c r="U125" i="1" s="1"/>
  <c r="P124" i="1"/>
  <c r="O124" i="1"/>
  <c r="T124" i="1" s="1"/>
  <c r="N124" i="1"/>
  <c r="M124" i="1"/>
  <c r="L124" i="1"/>
  <c r="H124" i="1"/>
  <c r="B124" i="1"/>
  <c r="P123" i="1"/>
  <c r="O123" i="1"/>
  <c r="N123" i="1"/>
  <c r="M123" i="1"/>
  <c r="L123" i="1"/>
  <c r="H123" i="1"/>
  <c r="B123" i="1"/>
  <c r="AB122" i="1"/>
  <c r="AB123" i="1" s="1"/>
  <c r="Z122" i="1"/>
  <c r="Z123" i="1" s="1"/>
  <c r="S122" i="1"/>
  <c r="U122" i="1" s="1"/>
  <c r="U123" i="1" s="1"/>
  <c r="Q122" i="1"/>
  <c r="Q123" i="1" s="1"/>
  <c r="P122" i="1"/>
  <c r="O122" i="1"/>
  <c r="T122" i="1" s="1"/>
  <c r="V122" i="1" s="1"/>
  <c r="V123" i="1" s="1"/>
  <c r="M122" i="1"/>
  <c r="L122" i="1"/>
  <c r="N122" i="1" s="1"/>
  <c r="H122" i="1"/>
  <c r="B122" i="1"/>
  <c r="U121" i="1"/>
  <c r="P121" i="1"/>
  <c r="O121" i="1"/>
  <c r="M121" i="1"/>
  <c r="L121" i="1"/>
  <c r="N121" i="1" s="1"/>
  <c r="H121" i="1"/>
  <c r="B121" i="1"/>
  <c r="AB120" i="1"/>
  <c r="AB121" i="1" s="1"/>
  <c r="Z120" i="1"/>
  <c r="Z121" i="1" s="1"/>
  <c r="U120" i="1"/>
  <c r="T120" i="1"/>
  <c r="V120" i="1" s="1"/>
  <c r="V121" i="1" s="1"/>
  <c r="S120" i="1"/>
  <c r="P120" i="1"/>
  <c r="Q120" i="1" s="1"/>
  <c r="R120" i="1" s="1"/>
  <c r="O120" i="1"/>
  <c r="N120" i="1"/>
  <c r="M120" i="1"/>
  <c r="L120" i="1"/>
  <c r="H120" i="1"/>
  <c r="B120" i="1"/>
  <c r="Z119" i="1"/>
  <c r="P119" i="1"/>
  <c r="O119" i="1"/>
  <c r="N119" i="1"/>
  <c r="M119" i="1"/>
  <c r="L119" i="1"/>
  <c r="H119" i="1"/>
  <c r="B119" i="1"/>
  <c r="AB118" i="1"/>
  <c r="AB119" i="1" s="1"/>
  <c r="Z118" i="1"/>
  <c r="S118" i="1"/>
  <c r="U118" i="1" s="1"/>
  <c r="U119" i="1" s="1"/>
  <c r="O118" i="1"/>
  <c r="T118" i="1" s="1"/>
  <c r="V118" i="1" s="1"/>
  <c r="V119" i="1" s="1"/>
  <c r="L118" i="1"/>
  <c r="N118" i="1" s="1"/>
  <c r="H118" i="1"/>
  <c r="P118" i="1" s="1"/>
  <c r="Q118" i="1" s="1"/>
  <c r="B118" i="1"/>
  <c r="O117" i="1"/>
  <c r="M117" i="1"/>
  <c r="L117" i="1"/>
  <c r="N117" i="1" s="1"/>
  <c r="H117" i="1"/>
  <c r="P117" i="1" s="1"/>
  <c r="B117" i="1"/>
  <c r="AB116" i="1"/>
  <c r="AB117" i="1" s="1"/>
  <c r="Z116" i="1"/>
  <c r="Z117" i="1" s="1"/>
  <c r="V116" i="1"/>
  <c r="V117" i="1" s="1"/>
  <c r="S116" i="1"/>
  <c r="U116" i="1" s="1"/>
  <c r="U117" i="1" s="1"/>
  <c r="P116" i="1"/>
  <c r="O116" i="1"/>
  <c r="T116" i="1" s="1"/>
  <c r="N116" i="1"/>
  <c r="M116" i="1"/>
  <c r="L116" i="1"/>
  <c r="H116" i="1"/>
  <c r="B116" i="1"/>
  <c r="P115" i="1"/>
  <c r="O115" i="1"/>
  <c r="N115" i="1"/>
  <c r="M115" i="1"/>
  <c r="L115" i="1"/>
  <c r="H115" i="1"/>
  <c r="B115" i="1"/>
  <c r="AB114" i="1"/>
  <c r="AB115" i="1" s="1"/>
  <c r="Z114" i="1"/>
  <c r="Z115" i="1" s="1"/>
  <c r="S114" i="1"/>
  <c r="U114" i="1" s="1"/>
  <c r="U115" i="1" s="1"/>
  <c r="P114" i="1"/>
  <c r="Q114" i="1" s="1"/>
  <c r="O114" i="1"/>
  <c r="T114" i="1" s="1"/>
  <c r="V114" i="1" s="1"/>
  <c r="V115" i="1" s="1"/>
  <c r="M114" i="1"/>
  <c r="L114" i="1"/>
  <c r="N114" i="1" s="1"/>
  <c r="H114" i="1"/>
  <c r="B114" i="1"/>
  <c r="U113" i="1"/>
  <c r="P113" i="1"/>
  <c r="O113" i="1"/>
  <c r="M113" i="1"/>
  <c r="L113" i="1"/>
  <c r="N113" i="1" s="1"/>
  <c r="H113" i="1"/>
  <c r="B113" i="1"/>
  <c r="AB112" i="1"/>
  <c r="AB113" i="1" s="1"/>
  <c r="Z112" i="1"/>
  <c r="Z113" i="1" s="1"/>
  <c r="U112" i="1"/>
  <c r="T112" i="1"/>
  <c r="V112" i="1" s="1"/>
  <c r="V113" i="1" s="1"/>
  <c r="S112" i="1"/>
  <c r="P112" i="1"/>
  <c r="Q112" i="1" s="1"/>
  <c r="R112" i="1" s="1"/>
  <c r="O112" i="1"/>
  <c r="N112" i="1"/>
  <c r="M112" i="1"/>
  <c r="L112" i="1"/>
  <c r="H112" i="1"/>
  <c r="B112" i="1"/>
  <c r="P111" i="1"/>
  <c r="O111" i="1"/>
  <c r="N111" i="1"/>
  <c r="M111" i="1"/>
  <c r="L111" i="1"/>
  <c r="H111" i="1"/>
  <c r="B111" i="1"/>
  <c r="AB110" i="1"/>
  <c r="AB111" i="1" s="1"/>
  <c r="Z110" i="1"/>
  <c r="Z111" i="1" s="1"/>
  <c r="S110" i="1"/>
  <c r="U110" i="1" s="1"/>
  <c r="U111" i="1" s="1"/>
  <c r="P110" i="1"/>
  <c r="O110" i="1"/>
  <c r="T110" i="1" s="1"/>
  <c r="V110" i="1" s="1"/>
  <c r="V111" i="1" s="1"/>
  <c r="L110" i="1"/>
  <c r="N110" i="1" s="1"/>
  <c r="H110" i="1"/>
  <c r="B110" i="1"/>
  <c r="P109" i="1"/>
  <c r="O109" i="1"/>
  <c r="M109" i="1"/>
  <c r="L109" i="1"/>
  <c r="N109" i="1" s="1"/>
  <c r="H109" i="1"/>
  <c r="B109" i="1"/>
  <c r="AB108" i="1"/>
  <c r="AB109" i="1" s="1"/>
  <c r="Z108" i="1"/>
  <c r="Z109" i="1" s="1"/>
  <c r="V108" i="1"/>
  <c r="V109" i="1" s="1"/>
  <c r="S108" i="1"/>
  <c r="U108" i="1" s="1"/>
  <c r="U109" i="1" s="1"/>
  <c r="P108" i="1"/>
  <c r="O108" i="1"/>
  <c r="T108" i="1" s="1"/>
  <c r="N108" i="1"/>
  <c r="M108" i="1"/>
  <c r="L108" i="1"/>
  <c r="H108" i="1"/>
  <c r="B108" i="1"/>
  <c r="P107" i="1"/>
  <c r="Q106" i="1" s="1"/>
  <c r="O107" i="1"/>
  <c r="N107" i="1"/>
  <c r="M107" i="1"/>
  <c r="L107" i="1"/>
  <c r="H107" i="1"/>
  <c r="B107" i="1"/>
  <c r="AB106" i="1"/>
  <c r="AB107" i="1" s="1"/>
  <c r="Z106" i="1"/>
  <c r="Z107" i="1" s="1"/>
  <c r="S106" i="1"/>
  <c r="U106" i="1" s="1"/>
  <c r="U107" i="1" s="1"/>
  <c r="P106" i="1"/>
  <c r="O106" i="1"/>
  <c r="T106" i="1" s="1"/>
  <c r="V106" i="1" s="1"/>
  <c r="V107" i="1" s="1"/>
  <c r="M106" i="1"/>
  <c r="L106" i="1"/>
  <c r="N106" i="1" s="1"/>
  <c r="H106" i="1"/>
  <c r="B106" i="1"/>
  <c r="U105" i="1"/>
  <c r="P105" i="1"/>
  <c r="O105" i="1"/>
  <c r="M105" i="1"/>
  <c r="L105" i="1"/>
  <c r="N105" i="1" s="1"/>
  <c r="H105" i="1"/>
  <c r="B105" i="1"/>
  <c r="AB104" i="1"/>
  <c r="AB105" i="1" s="1"/>
  <c r="Z104" i="1"/>
  <c r="Z105" i="1" s="1"/>
  <c r="U104" i="1"/>
  <c r="T104" i="1"/>
  <c r="V104" i="1" s="1"/>
  <c r="V105" i="1" s="1"/>
  <c r="S104" i="1"/>
  <c r="P104" i="1"/>
  <c r="Q104" i="1" s="1"/>
  <c r="R104" i="1" s="1"/>
  <c r="O104" i="1"/>
  <c r="N104" i="1"/>
  <c r="M104" i="1"/>
  <c r="L104" i="1"/>
  <c r="H104" i="1"/>
  <c r="B104" i="1"/>
  <c r="Z103" i="1"/>
  <c r="V103" i="1"/>
  <c r="P103" i="1"/>
  <c r="O103" i="1"/>
  <c r="N103" i="1"/>
  <c r="M103" i="1"/>
  <c r="L103" i="1"/>
  <c r="H103" i="1"/>
  <c r="B103" i="1"/>
  <c r="AB102" i="1"/>
  <c r="AB103" i="1" s="1"/>
  <c r="Z102" i="1"/>
  <c r="V102" i="1"/>
  <c r="T102" i="1"/>
  <c r="S102" i="1"/>
  <c r="U102" i="1" s="1"/>
  <c r="U103" i="1" s="1"/>
  <c r="P102" i="1"/>
  <c r="Q102" i="1" s="1"/>
  <c r="O102" i="1"/>
  <c r="L102" i="1"/>
  <c r="N102" i="1" s="1"/>
  <c r="H102" i="1"/>
  <c r="B102" i="1"/>
  <c r="O101" i="1"/>
  <c r="L101" i="1"/>
  <c r="N101" i="1" s="1"/>
  <c r="H101" i="1"/>
  <c r="P101" i="1" s="1"/>
  <c r="B101" i="1"/>
  <c r="AB100" i="1"/>
  <c r="AB101" i="1" s="1"/>
  <c r="Z100" i="1"/>
  <c r="Z101" i="1" s="1"/>
  <c r="V100" i="1"/>
  <c r="V101" i="1" s="1"/>
  <c r="S100" i="1"/>
  <c r="U100" i="1" s="1"/>
  <c r="U101" i="1" s="1"/>
  <c r="P100" i="1"/>
  <c r="O100" i="1"/>
  <c r="T100" i="1" s="1"/>
  <c r="N100" i="1"/>
  <c r="M100" i="1"/>
  <c r="L100" i="1"/>
  <c r="H100" i="1"/>
  <c r="B100" i="1"/>
  <c r="V99" i="1"/>
  <c r="P99" i="1"/>
  <c r="O99" i="1"/>
  <c r="N99" i="1"/>
  <c r="M99" i="1"/>
  <c r="L99" i="1"/>
  <c r="H99" i="1"/>
  <c r="B99" i="1"/>
  <c r="AB98" i="1"/>
  <c r="AB99" i="1" s="1"/>
  <c r="Z98" i="1"/>
  <c r="Z99" i="1" s="1"/>
  <c r="V98" i="1"/>
  <c r="S98" i="1"/>
  <c r="U98" i="1" s="1"/>
  <c r="U99" i="1" s="1"/>
  <c r="P98" i="1"/>
  <c r="Q98" i="1" s="1"/>
  <c r="O98" i="1"/>
  <c r="T98" i="1" s="1"/>
  <c r="M98" i="1"/>
  <c r="L98" i="1"/>
  <c r="N98" i="1" s="1"/>
  <c r="H98" i="1"/>
  <c r="B98" i="1"/>
  <c r="P97" i="1"/>
  <c r="O97" i="1"/>
  <c r="M97" i="1"/>
  <c r="L97" i="1"/>
  <c r="N97" i="1" s="1"/>
  <c r="H97" i="1"/>
  <c r="B97" i="1"/>
  <c r="AB96" i="1"/>
  <c r="AB97" i="1" s="1"/>
  <c r="Z96" i="1"/>
  <c r="Z97" i="1" s="1"/>
  <c r="V96" i="1"/>
  <c r="V97" i="1" s="1"/>
  <c r="T96" i="1"/>
  <c r="S96" i="1"/>
  <c r="U96" i="1" s="1"/>
  <c r="U97" i="1" s="1"/>
  <c r="P96" i="1"/>
  <c r="O96" i="1"/>
  <c r="N96" i="1"/>
  <c r="M96" i="1"/>
  <c r="L96" i="1"/>
  <c r="H96" i="1"/>
  <c r="B96" i="1"/>
  <c r="Z95" i="1"/>
  <c r="P95" i="1"/>
  <c r="O95" i="1"/>
  <c r="T94" i="1" s="1"/>
  <c r="V94" i="1" s="1"/>
  <c r="V95" i="1" s="1"/>
  <c r="N95" i="1"/>
  <c r="M95" i="1"/>
  <c r="L95" i="1"/>
  <c r="H95" i="1"/>
  <c r="B95" i="1"/>
  <c r="AB94" i="1"/>
  <c r="AB95" i="1" s="1"/>
  <c r="Z94" i="1"/>
  <c r="S94" i="1"/>
  <c r="U94" i="1" s="1"/>
  <c r="U95" i="1" s="1"/>
  <c r="O94" i="1"/>
  <c r="L94" i="1"/>
  <c r="N94" i="1" s="1"/>
  <c r="H94" i="1"/>
  <c r="P94" i="1" s="1"/>
  <c r="Q94" i="1" s="1"/>
  <c r="B94" i="1"/>
  <c r="P93" i="1"/>
  <c r="O93" i="1"/>
  <c r="L93" i="1"/>
  <c r="N93" i="1" s="1"/>
  <c r="H93" i="1"/>
  <c r="B93" i="1"/>
  <c r="AB92" i="1"/>
  <c r="AB93" i="1" s="1"/>
  <c r="Z92" i="1"/>
  <c r="Z93" i="1" s="1"/>
  <c r="V92" i="1"/>
  <c r="V93" i="1" s="1"/>
  <c r="S92" i="1"/>
  <c r="U92" i="1" s="1"/>
  <c r="U93" i="1" s="1"/>
  <c r="P92" i="1"/>
  <c r="O92" i="1"/>
  <c r="T92" i="1" s="1"/>
  <c r="N92" i="1"/>
  <c r="M92" i="1"/>
  <c r="L92" i="1"/>
  <c r="H92" i="1"/>
  <c r="B92" i="1"/>
  <c r="P91" i="1"/>
  <c r="O91" i="1"/>
  <c r="N91" i="1"/>
  <c r="M91" i="1"/>
  <c r="L91" i="1"/>
  <c r="H91" i="1"/>
  <c r="B91" i="1"/>
  <c r="AB90" i="1"/>
  <c r="AB91" i="1" s="1"/>
  <c r="Z90" i="1"/>
  <c r="Z91" i="1" s="1"/>
  <c r="S90" i="1"/>
  <c r="U90" i="1" s="1"/>
  <c r="U91" i="1" s="1"/>
  <c r="P90" i="1"/>
  <c r="Q90" i="1" s="1"/>
  <c r="O90" i="1"/>
  <c r="T90" i="1" s="1"/>
  <c r="V90" i="1" s="1"/>
  <c r="V91" i="1" s="1"/>
  <c r="M90" i="1"/>
  <c r="L90" i="1"/>
  <c r="N90" i="1" s="1"/>
  <c r="H90" i="1"/>
  <c r="B90" i="1"/>
  <c r="V89" i="1"/>
  <c r="Q89" i="1"/>
  <c r="P89" i="1"/>
  <c r="O89" i="1"/>
  <c r="M89" i="1"/>
  <c r="L89" i="1"/>
  <c r="N89" i="1" s="1"/>
  <c r="H89" i="1"/>
  <c r="B89" i="1"/>
  <c r="AB88" i="1"/>
  <c r="AB89" i="1" s="1"/>
  <c r="Z88" i="1"/>
  <c r="Z89" i="1" s="1"/>
  <c r="V88" i="1"/>
  <c r="U88" i="1"/>
  <c r="U89" i="1" s="1"/>
  <c r="T88" i="1"/>
  <c r="S88" i="1"/>
  <c r="P88" i="1"/>
  <c r="Q88" i="1" s="1"/>
  <c r="R88" i="1" s="1"/>
  <c r="O88" i="1"/>
  <c r="N88" i="1"/>
  <c r="M88" i="1"/>
  <c r="L88" i="1"/>
  <c r="H88" i="1"/>
  <c r="B88" i="1"/>
  <c r="Z87" i="1"/>
  <c r="V87" i="1"/>
  <c r="P87" i="1"/>
  <c r="O87" i="1"/>
  <c r="N87" i="1"/>
  <c r="M87" i="1"/>
  <c r="L87" i="1"/>
  <c r="H87" i="1"/>
  <c r="B87" i="1"/>
  <c r="AB86" i="1"/>
  <c r="AB87" i="1" s="1"/>
  <c r="Z86" i="1"/>
  <c r="V86" i="1"/>
  <c r="S86" i="1"/>
  <c r="U86" i="1" s="1"/>
  <c r="U87" i="1" s="1"/>
  <c r="P86" i="1"/>
  <c r="Q86" i="1" s="1"/>
  <c r="O86" i="1"/>
  <c r="T86" i="1" s="1"/>
  <c r="M86" i="1"/>
  <c r="L86" i="1"/>
  <c r="N86" i="1" s="1"/>
  <c r="H86" i="1"/>
  <c r="B86" i="1"/>
  <c r="P85" i="1"/>
  <c r="O85" i="1"/>
  <c r="L85" i="1"/>
  <c r="N85" i="1" s="1"/>
  <c r="H85" i="1"/>
  <c r="B85" i="1"/>
  <c r="AB84" i="1"/>
  <c r="AB85" i="1" s="1"/>
  <c r="Z84" i="1"/>
  <c r="Z85" i="1" s="1"/>
  <c r="S84" i="1"/>
  <c r="U84" i="1" s="1"/>
  <c r="U85" i="1" s="1"/>
  <c r="O84" i="1"/>
  <c r="T84" i="1" s="1"/>
  <c r="V84" i="1" s="1"/>
  <c r="V85" i="1" s="1"/>
  <c r="N84" i="1"/>
  <c r="M84" i="1"/>
  <c r="L84" i="1"/>
  <c r="P84" i="1" s="1"/>
  <c r="Q84" i="1" s="1"/>
  <c r="H84" i="1"/>
  <c r="B84" i="1"/>
  <c r="O83" i="1"/>
  <c r="N83" i="1"/>
  <c r="L83" i="1"/>
  <c r="P83" i="1" s="1"/>
  <c r="H83" i="1"/>
  <c r="B83" i="1"/>
  <c r="AB82" i="1"/>
  <c r="AB83" i="1" s="1"/>
  <c r="Z82" i="1"/>
  <c r="Z83" i="1" s="1"/>
  <c r="S82" i="1"/>
  <c r="U82" i="1" s="1"/>
  <c r="U83" i="1" s="1"/>
  <c r="P82" i="1"/>
  <c r="O82" i="1"/>
  <c r="M82" i="1"/>
  <c r="L82" i="1"/>
  <c r="N82" i="1" s="1"/>
  <c r="H82" i="1"/>
  <c r="B82" i="1"/>
  <c r="P81" i="1"/>
  <c r="O81" i="1"/>
  <c r="T80" i="1" s="1"/>
  <c r="V80" i="1" s="1"/>
  <c r="V81" i="1" s="1"/>
  <c r="M81" i="1"/>
  <c r="L81" i="1"/>
  <c r="N81" i="1" s="1"/>
  <c r="H81" i="1"/>
  <c r="B81" i="1"/>
  <c r="AB80" i="1"/>
  <c r="AB81" i="1" s="1"/>
  <c r="Z80" i="1"/>
  <c r="Z81" i="1" s="1"/>
  <c r="U80" i="1"/>
  <c r="U81" i="1" s="1"/>
  <c r="S80" i="1"/>
  <c r="P80" i="1"/>
  <c r="Q80" i="1" s="1"/>
  <c r="R80" i="1" s="1"/>
  <c r="O80" i="1"/>
  <c r="N80" i="1"/>
  <c r="M80" i="1"/>
  <c r="L80" i="1"/>
  <c r="H80" i="1"/>
  <c r="B80" i="1"/>
  <c r="AB79" i="1"/>
  <c r="Z79" i="1"/>
  <c r="P79" i="1"/>
  <c r="O79" i="1"/>
  <c r="N79" i="1"/>
  <c r="M79" i="1"/>
  <c r="L79" i="1"/>
  <c r="H79" i="1"/>
  <c r="B79" i="1"/>
  <c r="AB78" i="1"/>
  <c r="Z78" i="1"/>
  <c r="V78" i="1"/>
  <c r="V79" i="1" s="1"/>
  <c r="S78" i="1"/>
  <c r="U78" i="1" s="1"/>
  <c r="U79" i="1" s="1"/>
  <c r="P78" i="1"/>
  <c r="Q78" i="1" s="1"/>
  <c r="O78" i="1"/>
  <c r="T78" i="1" s="1"/>
  <c r="L78" i="1"/>
  <c r="N78" i="1" s="1"/>
  <c r="H78" i="1"/>
  <c r="B78" i="1"/>
  <c r="P77" i="1"/>
  <c r="O77" i="1"/>
  <c r="L77" i="1"/>
  <c r="N77" i="1" s="1"/>
  <c r="H77" i="1"/>
  <c r="B77" i="1"/>
  <c r="AB76" i="1"/>
  <c r="AB77" i="1" s="1"/>
  <c r="Z76" i="1"/>
  <c r="Z77" i="1" s="1"/>
  <c r="S76" i="1"/>
  <c r="U76" i="1" s="1"/>
  <c r="U77" i="1" s="1"/>
  <c r="O76" i="1"/>
  <c r="T76" i="1" s="1"/>
  <c r="V76" i="1" s="1"/>
  <c r="V77" i="1" s="1"/>
  <c r="N76" i="1"/>
  <c r="M76" i="1"/>
  <c r="L76" i="1"/>
  <c r="P76" i="1" s="1"/>
  <c r="Q76" i="1" s="1"/>
  <c r="H76" i="1"/>
  <c r="B76" i="1"/>
  <c r="P75" i="1"/>
  <c r="O75" i="1"/>
  <c r="N75" i="1"/>
  <c r="M75" i="1"/>
  <c r="L75" i="1"/>
  <c r="H75" i="1"/>
  <c r="B75" i="1"/>
  <c r="AB74" i="1"/>
  <c r="AB75" i="1" s="1"/>
  <c r="Z74" i="1"/>
  <c r="Z75" i="1" s="1"/>
  <c r="S74" i="1"/>
  <c r="U74" i="1" s="1"/>
  <c r="U75" i="1" s="1"/>
  <c r="P74" i="1"/>
  <c r="Q74" i="1" s="1"/>
  <c r="O74" i="1"/>
  <c r="M74" i="1"/>
  <c r="L74" i="1"/>
  <c r="N74" i="1" s="1"/>
  <c r="H74" i="1"/>
  <c r="B74" i="1"/>
  <c r="P73" i="1"/>
  <c r="O73" i="1"/>
  <c r="T72" i="1" s="1"/>
  <c r="V72" i="1" s="1"/>
  <c r="V73" i="1" s="1"/>
  <c r="M73" i="1"/>
  <c r="L73" i="1"/>
  <c r="N73" i="1" s="1"/>
  <c r="H73" i="1"/>
  <c r="B73" i="1"/>
  <c r="AB72" i="1"/>
  <c r="AB73" i="1" s="1"/>
  <c r="Z72" i="1"/>
  <c r="Z73" i="1" s="1"/>
  <c r="U72" i="1"/>
  <c r="U73" i="1" s="1"/>
  <c r="S72" i="1"/>
  <c r="P72" i="1"/>
  <c r="Q72" i="1" s="1"/>
  <c r="Q73" i="1" s="1"/>
  <c r="O72" i="1"/>
  <c r="N72" i="1"/>
  <c r="M72" i="1"/>
  <c r="L72" i="1"/>
  <c r="H72" i="1"/>
  <c r="B72" i="1"/>
  <c r="AB71" i="1"/>
  <c r="Z71" i="1"/>
  <c r="P71" i="1"/>
  <c r="O71" i="1"/>
  <c r="N71" i="1"/>
  <c r="M71" i="1"/>
  <c r="L71" i="1"/>
  <c r="H71" i="1"/>
  <c r="B71" i="1"/>
  <c r="AB70" i="1"/>
  <c r="Z70" i="1"/>
  <c r="V70" i="1"/>
  <c r="V71" i="1" s="1"/>
  <c r="S70" i="1"/>
  <c r="U70" i="1" s="1"/>
  <c r="U71" i="1" s="1"/>
  <c r="P70" i="1"/>
  <c r="Q70" i="1" s="1"/>
  <c r="O70" i="1"/>
  <c r="T70" i="1" s="1"/>
  <c r="L70" i="1"/>
  <c r="N70" i="1" s="1"/>
  <c r="H70" i="1"/>
  <c r="B70" i="1"/>
  <c r="P69" i="1"/>
  <c r="O69" i="1"/>
  <c r="L69" i="1"/>
  <c r="N69" i="1" s="1"/>
  <c r="H69" i="1"/>
  <c r="B69" i="1"/>
  <c r="AB68" i="1"/>
  <c r="AB69" i="1" s="1"/>
  <c r="Z68" i="1"/>
  <c r="Z69" i="1" s="1"/>
  <c r="S68" i="1"/>
  <c r="U68" i="1" s="1"/>
  <c r="U69" i="1" s="1"/>
  <c r="O68" i="1"/>
  <c r="T68" i="1" s="1"/>
  <c r="V68" i="1" s="1"/>
  <c r="V69" i="1" s="1"/>
  <c r="N68" i="1"/>
  <c r="M68" i="1"/>
  <c r="L68" i="1"/>
  <c r="P68" i="1" s="1"/>
  <c r="Q68" i="1" s="1"/>
  <c r="H68" i="1"/>
  <c r="B68" i="1"/>
  <c r="P67" i="1"/>
  <c r="O67" i="1"/>
  <c r="N67" i="1"/>
  <c r="M67" i="1"/>
  <c r="L67" i="1"/>
  <c r="H67" i="1"/>
  <c r="B67" i="1"/>
  <c r="AB66" i="1"/>
  <c r="AB67" i="1" s="1"/>
  <c r="Z66" i="1"/>
  <c r="Z67" i="1" s="1"/>
  <c r="S66" i="1"/>
  <c r="U66" i="1" s="1"/>
  <c r="U67" i="1" s="1"/>
  <c r="P66" i="1"/>
  <c r="Q66" i="1" s="1"/>
  <c r="O66" i="1"/>
  <c r="M66" i="1"/>
  <c r="L66" i="1"/>
  <c r="N66" i="1" s="1"/>
  <c r="H66" i="1"/>
  <c r="B66" i="1"/>
  <c r="P65" i="1"/>
  <c r="O65" i="1"/>
  <c r="T64" i="1" s="1"/>
  <c r="V64" i="1" s="1"/>
  <c r="V65" i="1" s="1"/>
  <c r="M65" i="1"/>
  <c r="L65" i="1"/>
  <c r="N65" i="1" s="1"/>
  <c r="H65" i="1"/>
  <c r="B65" i="1"/>
  <c r="AB64" i="1"/>
  <c r="AB65" i="1" s="1"/>
  <c r="Z64" i="1"/>
  <c r="Z65" i="1" s="1"/>
  <c r="U64" i="1"/>
  <c r="U65" i="1" s="1"/>
  <c r="S64" i="1"/>
  <c r="P64" i="1"/>
  <c r="Q64" i="1" s="1"/>
  <c r="Q65" i="1" s="1"/>
  <c r="O64" i="1"/>
  <c r="N64" i="1"/>
  <c r="M64" i="1"/>
  <c r="L64" i="1"/>
  <c r="H64" i="1"/>
  <c r="B64" i="1"/>
  <c r="AB63" i="1"/>
  <c r="Z63" i="1"/>
  <c r="P63" i="1"/>
  <c r="O63" i="1"/>
  <c r="N63" i="1"/>
  <c r="M63" i="1"/>
  <c r="L63" i="1"/>
  <c r="H63" i="1"/>
  <c r="B63" i="1"/>
  <c r="AB62" i="1"/>
  <c r="Z62" i="1"/>
  <c r="V62" i="1"/>
  <c r="V63" i="1" s="1"/>
  <c r="S62" i="1"/>
  <c r="U62" i="1" s="1"/>
  <c r="U63" i="1" s="1"/>
  <c r="P62" i="1"/>
  <c r="Q62" i="1" s="1"/>
  <c r="O62" i="1"/>
  <c r="T62" i="1" s="1"/>
  <c r="L62" i="1"/>
  <c r="N62" i="1" s="1"/>
  <c r="H62" i="1"/>
  <c r="B62" i="1"/>
  <c r="P61" i="1"/>
  <c r="O61" i="1"/>
  <c r="L61" i="1"/>
  <c r="N61" i="1" s="1"/>
  <c r="H61" i="1"/>
  <c r="B61" i="1"/>
  <c r="AB60" i="1"/>
  <c r="AB61" i="1" s="1"/>
  <c r="Z60" i="1"/>
  <c r="Z61" i="1" s="1"/>
  <c r="S60" i="1"/>
  <c r="U60" i="1" s="1"/>
  <c r="U61" i="1" s="1"/>
  <c r="O60" i="1"/>
  <c r="T60" i="1" s="1"/>
  <c r="V60" i="1" s="1"/>
  <c r="V61" i="1" s="1"/>
  <c r="N60" i="1"/>
  <c r="M60" i="1"/>
  <c r="L60" i="1"/>
  <c r="P60" i="1" s="1"/>
  <c r="Q60" i="1" s="1"/>
  <c r="H60" i="1"/>
  <c r="B60" i="1"/>
  <c r="P59" i="1"/>
  <c r="O59" i="1"/>
  <c r="N59" i="1"/>
  <c r="M59" i="1"/>
  <c r="L59" i="1"/>
  <c r="H59" i="1"/>
  <c r="B59" i="1"/>
  <c r="AB58" i="1"/>
  <c r="AB59" i="1" s="1"/>
  <c r="Z58" i="1"/>
  <c r="Z59" i="1" s="1"/>
  <c r="S58" i="1"/>
  <c r="U58" i="1" s="1"/>
  <c r="U59" i="1" s="1"/>
  <c r="P58" i="1"/>
  <c r="Q58" i="1" s="1"/>
  <c r="O58" i="1"/>
  <c r="M58" i="1"/>
  <c r="L58" i="1"/>
  <c r="N58" i="1" s="1"/>
  <c r="H58" i="1"/>
  <c r="B58" i="1"/>
  <c r="P57" i="1"/>
  <c r="O57" i="1"/>
  <c r="T56" i="1" s="1"/>
  <c r="V56" i="1" s="1"/>
  <c r="V57" i="1" s="1"/>
  <c r="M57" i="1"/>
  <c r="L57" i="1"/>
  <c r="N57" i="1" s="1"/>
  <c r="H57" i="1"/>
  <c r="B57" i="1"/>
  <c r="AB56" i="1"/>
  <c r="AB57" i="1" s="1"/>
  <c r="Z56" i="1"/>
  <c r="Z57" i="1" s="1"/>
  <c r="U56" i="1"/>
  <c r="U57" i="1" s="1"/>
  <c r="S56" i="1"/>
  <c r="P56" i="1"/>
  <c r="Q56" i="1" s="1"/>
  <c r="Q57" i="1" s="1"/>
  <c r="O56" i="1"/>
  <c r="N56" i="1"/>
  <c r="M56" i="1"/>
  <c r="L56" i="1"/>
  <c r="H56" i="1"/>
  <c r="B56" i="1"/>
  <c r="AB55" i="1"/>
  <c r="Z55" i="1"/>
  <c r="P55" i="1"/>
  <c r="O55" i="1"/>
  <c r="N55" i="1"/>
  <c r="M55" i="1"/>
  <c r="L55" i="1"/>
  <c r="H55" i="1"/>
  <c r="B55" i="1"/>
  <c r="AB54" i="1"/>
  <c r="Z54" i="1"/>
  <c r="V54" i="1"/>
  <c r="V55" i="1" s="1"/>
  <c r="S54" i="1"/>
  <c r="U54" i="1" s="1"/>
  <c r="U55" i="1" s="1"/>
  <c r="P54" i="1"/>
  <c r="Q54" i="1" s="1"/>
  <c r="O54" i="1"/>
  <c r="T54" i="1" s="1"/>
  <c r="L54" i="1"/>
  <c r="N54" i="1" s="1"/>
  <c r="H54" i="1"/>
  <c r="B54" i="1"/>
  <c r="P53" i="1"/>
  <c r="O53" i="1"/>
  <c r="L53" i="1"/>
  <c r="N53" i="1" s="1"/>
  <c r="H53" i="1"/>
  <c r="B53" i="1"/>
  <c r="AB52" i="1"/>
  <c r="AB53" i="1" s="1"/>
  <c r="Z52" i="1"/>
  <c r="Z53" i="1" s="1"/>
  <c r="S52" i="1"/>
  <c r="U52" i="1" s="1"/>
  <c r="U53" i="1" s="1"/>
  <c r="O52" i="1"/>
  <c r="T52" i="1" s="1"/>
  <c r="V52" i="1" s="1"/>
  <c r="V53" i="1" s="1"/>
  <c r="N52" i="1"/>
  <c r="M52" i="1"/>
  <c r="L52" i="1"/>
  <c r="P52" i="1" s="1"/>
  <c r="Q52" i="1" s="1"/>
  <c r="H52" i="1"/>
  <c r="B52" i="1"/>
  <c r="P51" i="1"/>
  <c r="O51" i="1"/>
  <c r="N51" i="1"/>
  <c r="L51" i="1"/>
  <c r="M51" i="1" s="1"/>
  <c r="H51" i="1"/>
  <c r="B51" i="1"/>
  <c r="AB50" i="1"/>
  <c r="AB51" i="1" s="1"/>
  <c r="Z50" i="1"/>
  <c r="Z51" i="1" s="1"/>
  <c r="S50" i="1"/>
  <c r="U50" i="1" s="1"/>
  <c r="U51" i="1" s="1"/>
  <c r="P50" i="1"/>
  <c r="Q50" i="1" s="1"/>
  <c r="O50" i="1"/>
  <c r="M50" i="1"/>
  <c r="L50" i="1"/>
  <c r="N50" i="1" s="1"/>
  <c r="H50" i="1"/>
  <c r="B50" i="1"/>
  <c r="P49" i="1"/>
  <c r="O49" i="1"/>
  <c r="T48" i="1" s="1"/>
  <c r="V48" i="1" s="1"/>
  <c r="V49" i="1" s="1"/>
  <c r="M49" i="1"/>
  <c r="L49" i="1"/>
  <c r="N49" i="1" s="1"/>
  <c r="H49" i="1"/>
  <c r="B49" i="1"/>
  <c r="AB48" i="1"/>
  <c r="AB49" i="1" s="1"/>
  <c r="Z48" i="1"/>
  <c r="Z49" i="1" s="1"/>
  <c r="U48" i="1"/>
  <c r="U49" i="1" s="1"/>
  <c r="S48" i="1"/>
  <c r="P48" i="1"/>
  <c r="Q48" i="1" s="1"/>
  <c r="R48" i="1" s="1"/>
  <c r="O48" i="1"/>
  <c r="N48" i="1"/>
  <c r="M48" i="1"/>
  <c r="L48" i="1"/>
  <c r="H48" i="1"/>
  <c r="B48" i="1"/>
  <c r="AB47" i="1"/>
  <c r="Z47" i="1"/>
  <c r="P47" i="1"/>
  <c r="O47" i="1"/>
  <c r="N47" i="1"/>
  <c r="M47" i="1"/>
  <c r="L47" i="1"/>
  <c r="H47" i="1"/>
  <c r="B47" i="1"/>
  <c r="AB46" i="1"/>
  <c r="Z46" i="1"/>
  <c r="V46" i="1"/>
  <c r="V47" i="1" s="1"/>
  <c r="S46" i="1"/>
  <c r="U46" i="1" s="1"/>
  <c r="U47" i="1" s="1"/>
  <c r="P46" i="1"/>
  <c r="Q46" i="1" s="1"/>
  <c r="O46" i="1"/>
  <c r="T46" i="1" s="1"/>
  <c r="L46" i="1"/>
  <c r="N46" i="1" s="1"/>
  <c r="H46" i="1"/>
  <c r="B46" i="1"/>
  <c r="P45" i="1"/>
  <c r="O45" i="1"/>
  <c r="L45" i="1"/>
  <c r="N45" i="1" s="1"/>
  <c r="H45" i="1"/>
  <c r="B45" i="1"/>
  <c r="AB44" i="1"/>
  <c r="AB45" i="1" s="1"/>
  <c r="Z44" i="1"/>
  <c r="Z45" i="1" s="1"/>
  <c r="S44" i="1"/>
  <c r="U44" i="1" s="1"/>
  <c r="U45" i="1" s="1"/>
  <c r="P44" i="1"/>
  <c r="O44" i="1"/>
  <c r="T44" i="1" s="1"/>
  <c r="V44" i="1" s="1"/>
  <c r="V45" i="1" s="1"/>
  <c r="L44" i="1"/>
  <c r="N44" i="1" s="1"/>
  <c r="H44" i="1"/>
  <c r="B44" i="1"/>
  <c r="O43" i="1"/>
  <c r="L43" i="1"/>
  <c r="M43" i="1" s="1"/>
  <c r="H43" i="1"/>
  <c r="B43" i="1"/>
  <c r="AB42" i="1"/>
  <c r="AB43" i="1" s="1"/>
  <c r="Z42" i="1"/>
  <c r="Z43" i="1" s="1"/>
  <c r="S42" i="1"/>
  <c r="U42" i="1" s="1"/>
  <c r="U43" i="1" s="1"/>
  <c r="P42" i="1"/>
  <c r="O42" i="1"/>
  <c r="T42" i="1" s="1"/>
  <c r="V42" i="1" s="1"/>
  <c r="V43" i="1" s="1"/>
  <c r="M42" i="1"/>
  <c r="L42" i="1"/>
  <c r="N42" i="1" s="1"/>
  <c r="H42" i="1"/>
  <c r="B42" i="1"/>
  <c r="U41" i="1"/>
  <c r="O41" i="1"/>
  <c r="M41" i="1"/>
  <c r="L41" i="1"/>
  <c r="N41" i="1" s="1"/>
  <c r="H41" i="1"/>
  <c r="P41" i="1" s="1"/>
  <c r="B41" i="1"/>
  <c r="AB40" i="1"/>
  <c r="AB41" i="1" s="1"/>
  <c r="Z40" i="1"/>
  <c r="Z41" i="1" s="1"/>
  <c r="U40" i="1"/>
  <c r="T40" i="1"/>
  <c r="V40" i="1" s="1"/>
  <c r="V41" i="1" s="1"/>
  <c r="S40" i="1"/>
  <c r="P40" i="1"/>
  <c r="O40" i="1"/>
  <c r="N40" i="1"/>
  <c r="M40" i="1"/>
  <c r="L40" i="1"/>
  <c r="H40" i="1"/>
  <c r="B40" i="1"/>
  <c r="AB39" i="1"/>
  <c r="Z39" i="1"/>
  <c r="V39" i="1"/>
  <c r="P39" i="1"/>
  <c r="O39" i="1"/>
  <c r="N39" i="1"/>
  <c r="M39" i="1"/>
  <c r="L39" i="1"/>
  <c r="H39" i="1"/>
  <c r="B39" i="1"/>
  <c r="AB38" i="1"/>
  <c r="Z38" i="1"/>
  <c r="V38" i="1"/>
  <c r="U38" i="1"/>
  <c r="U39" i="1" s="1"/>
  <c r="S38" i="1"/>
  <c r="O38" i="1"/>
  <c r="T38" i="1" s="1"/>
  <c r="L38" i="1"/>
  <c r="N38" i="1" s="1"/>
  <c r="H38" i="1"/>
  <c r="P38" i="1" s="1"/>
  <c r="Q38" i="1" s="1"/>
  <c r="B38" i="1"/>
  <c r="P37" i="1"/>
  <c r="O37" i="1"/>
  <c r="M37" i="1"/>
  <c r="L37" i="1"/>
  <c r="N37" i="1" s="1"/>
  <c r="H37" i="1"/>
  <c r="B37" i="1"/>
  <c r="AB36" i="1"/>
  <c r="AB37" i="1" s="1"/>
  <c r="Z36" i="1"/>
  <c r="Z37" i="1" s="1"/>
  <c r="S36" i="1"/>
  <c r="U36" i="1" s="1"/>
  <c r="U37" i="1" s="1"/>
  <c r="P36" i="1"/>
  <c r="O36" i="1"/>
  <c r="T36" i="1" s="1"/>
  <c r="V36" i="1" s="1"/>
  <c r="V37" i="1" s="1"/>
  <c r="M36" i="1"/>
  <c r="L36" i="1"/>
  <c r="N36" i="1" s="1"/>
  <c r="H36" i="1"/>
  <c r="B36" i="1"/>
  <c r="Z35" i="1"/>
  <c r="P35" i="1"/>
  <c r="Q34" i="1" s="1"/>
  <c r="O35" i="1"/>
  <c r="L35" i="1"/>
  <c r="M35" i="1" s="1"/>
  <c r="H35" i="1"/>
  <c r="B35" i="1"/>
  <c r="AB34" i="1"/>
  <c r="AB35" i="1" s="1"/>
  <c r="Z34" i="1"/>
  <c r="S34" i="1"/>
  <c r="U34" i="1" s="1"/>
  <c r="U35" i="1" s="1"/>
  <c r="P34" i="1"/>
  <c r="O34" i="1"/>
  <c r="T34" i="1" s="1"/>
  <c r="V34" i="1" s="1"/>
  <c r="V35" i="1" s="1"/>
  <c r="M34" i="1"/>
  <c r="L34" i="1"/>
  <c r="N34" i="1" s="1"/>
  <c r="H34" i="1"/>
  <c r="B34" i="1"/>
  <c r="P33" i="1"/>
  <c r="O33" i="1"/>
  <c r="T32" i="1" s="1"/>
  <c r="V32" i="1" s="1"/>
  <c r="V33" i="1" s="1"/>
  <c r="M33" i="1"/>
  <c r="L33" i="1"/>
  <c r="N33" i="1" s="1"/>
  <c r="H33" i="1"/>
  <c r="B33" i="1"/>
  <c r="AB32" i="1"/>
  <c r="AB33" i="1" s="1"/>
  <c r="Z32" i="1"/>
  <c r="Z33" i="1" s="1"/>
  <c r="S32" i="1"/>
  <c r="U32" i="1" s="1"/>
  <c r="U33" i="1" s="1"/>
  <c r="P32" i="1"/>
  <c r="Q32" i="1" s="1"/>
  <c r="R32" i="1" s="1"/>
  <c r="O32" i="1"/>
  <c r="N32" i="1"/>
  <c r="M32" i="1"/>
  <c r="L32" i="1"/>
  <c r="H32" i="1"/>
  <c r="B32" i="1"/>
  <c r="AB31" i="1"/>
  <c r="P31" i="1"/>
  <c r="O31" i="1"/>
  <c r="N31" i="1"/>
  <c r="M31" i="1"/>
  <c r="L31" i="1"/>
  <c r="H31" i="1"/>
  <c r="B31" i="1"/>
  <c r="AB30" i="1"/>
  <c r="Z30" i="1"/>
  <c r="Z31" i="1" s="1"/>
  <c r="S30" i="1"/>
  <c r="U30" i="1" s="1"/>
  <c r="U31" i="1" s="1"/>
  <c r="P30" i="1"/>
  <c r="Q30" i="1" s="1"/>
  <c r="O30" i="1"/>
  <c r="T30" i="1" s="1"/>
  <c r="V30" i="1" s="1"/>
  <c r="V31" i="1" s="1"/>
  <c r="L30" i="1"/>
  <c r="N30" i="1" s="1"/>
  <c r="H30" i="1"/>
  <c r="B30" i="1"/>
  <c r="O29" i="1"/>
  <c r="L29" i="1"/>
  <c r="N29" i="1" s="1"/>
  <c r="H29" i="1"/>
  <c r="P29" i="1" s="1"/>
  <c r="B29" i="1"/>
  <c r="AB28" i="1"/>
  <c r="AB29" i="1" s="1"/>
  <c r="Z28" i="1"/>
  <c r="Z29" i="1" s="1"/>
  <c r="U28" i="1"/>
  <c r="U29" i="1" s="1"/>
  <c r="S28" i="1"/>
  <c r="P28" i="1"/>
  <c r="O28" i="1"/>
  <c r="T28" i="1" s="1"/>
  <c r="V28" i="1" s="1"/>
  <c r="V29" i="1" s="1"/>
  <c r="N28" i="1"/>
  <c r="L28" i="1"/>
  <c r="M28" i="1" s="1"/>
  <c r="H28" i="1"/>
  <c r="B28" i="1"/>
  <c r="P27" i="1"/>
  <c r="O27" i="1"/>
  <c r="N27" i="1"/>
  <c r="L27" i="1"/>
  <c r="M27" i="1" s="1"/>
  <c r="H27" i="1"/>
  <c r="B27" i="1"/>
  <c r="AB26" i="1"/>
  <c r="AB27" i="1" s="1"/>
  <c r="Z26" i="1"/>
  <c r="Z27" i="1" s="1"/>
  <c r="S26" i="1"/>
  <c r="U26" i="1" s="1"/>
  <c r="U27" i="1" s="1"/>
  <c r="O26" i="1"/>
  <c r="T26" i="1" s="1"/>
  <c r="V26" i="1" s="1"/>
  <c r="V27" i="1" s="1"/>
  <c r="N26" i="1"/>
  <c r="M26" i="1"/>
  <c r="L26" i="1"/>
  <c r="H26" i="1"/>
  <c r="P26" i="1" s="1"/>
  <c r="Q26" i="1" s="1"/>
  <c r="B26" i="1"/>
  <c r="O25" i="1"/>
  <c r="N25" i="1"/>
  <c r="M25" i="1"/>
  <c r="L25" i="1"/>
  <c r="H25" i="1"/>
  <c r="P25" i="1" s="1"/>
  <c r="B25" i="1"/>
  <c r="AB24" i="1"/>
  <c r="AB25" i="1" s="1"/>
  <c r="Z24" i="1"/>
  <c r="Z25" i="1" s="1"/>
  <c r="U24" i="1"/>
  <c r="U25" i="1" s="1"/>
  <c r="T24" i="1"/>
  <c r="V24" i="1" s="1"/>
  <c r="V25" i="1" s="1"/>
  <c r="S24" i="1"/>
  <c r="P24" i="1"/>
  <c r="O24" i="1"/>
  <c r="N24" i="1"/>
  <c r="L24" i="1"/>
  <c r="M24" i="1" s="1"/>
  <c r="H24" i="1"/>
  <c r="B24" i="1"/>
  <c r="P23" i="1"/>
  <c r="O23" i="1"/>
  <c r="N23" i="1"/>
  <c r="L23" i="1"/>
  <c r="M23" i="1" s="1"/>
  <c r="H23" i="1"/>
  <c r="B23" i="1"/>
  <c r="AB22" i="1"/>
  <c r="AB23" i="1" s="1"/>
  <c r="Z22" i="1"/>
  <c r="Z23" i="1" s="1"/>
  <c r="T22" i="1"/>
  <c r="V22" i="1" s="1"/>
  <c r="V23" i="1" s="1"/>
  <c r="S22" i="1"/>
  <c r="U22" i="1" s="1"/>
  <c r="U23" i="1" s="1"/>
  <c r="O22" i="1"/>
  <c r="L22" i="1"/>
  <c r="M22" i="1" s="1"/>
  <c r="H22" i="1"/>
  <c r="P22" i="1" s="1"/>
  <c r="Q22" i="1" s="1"/>
  <c r="B22" i="1"/>
  <c r="O21" i="1"/>
  <c r="L21" i="1"/>
  <c r="M21" i="1" s="1"/>
  <c r="H21" i="1"/>
  <c r="P21" i="1" s="1"/>
  <c r="B21" i="1"/>
  <c r="AB20" i="1"/>
  <c r="AB21" i="1" s="1"/>
  <c r="Z20" i="1"/>
  <c r="Z21" i="1" s="1"/>
  <c r="U20" i="1"/>
  <c r="U21" i="1" s="1"/>
  <c r="S20" i="1"/>
  <c r="P20" i="1"/>
  <c r="O20" i="1"/>
  <c r="T20" i="1" s="1"/>
  <c r="V20" i="1" s="1"/>
  <c r="V21" i="1" s="1"/>
  <c r="N20" i="1"/>
  <c r="L20" i="1"/>
  <c r="M20" i="1" s="1"/>
  <c r="H20" i="1"/>
  <c r="B20" i="1"/>
  <c r="P19" i="1"/>
  <c r="O19" i="1"/>
  <c r="N19" i="1"/>
  <c r="L19" i="1"/>
  <c r="M19" i="1" s="1"/>
  <c r="H19" i="1"/>
  <c r="B19" i="1"/>
  <c r="AB18" i="1"/>
  <c r="AB19" i="1" s="1"/>
  <c r="Z18" i="1"/>
  <c r="Z19" i="1" s="1"/>
  <c r="S18" i="1"/>
  <c r="U18" i="1" s="1"/>
  <c r="U19" i="1" s="1"/>
  <c r="O18" i="1"/>
  <c r="T18" i="1" s="1"/>
  <c r="V18" i="1" s="1"/>
  <c r="V19" i="1" s="1"/>
  <c r="N18" i="1"/>
  <c r="M18" i="1"/>
  <c r="L18" i="1"/>
  <c r="H18" i="1"/>
  <c r="P18" i="1" s="1"/>
  <c r="Q18" i="1" s="1"/>
  <c r="B18" i="1"/>
  <c r="O17" i="1"/>
  <c r="N17" i="1"/>
  <c r="M17" i="1"/>
  <c r="L17" i="1"/>
  <c r="H17" i="1"/>
  <c r="P17" i="1" s="1"/>
  <c r="B17" i="1"/>
  <c r="AB16" i="1"/>
  <c r="AB17" i="1" s="1"/>
  <c r="Z16" i="1"/>
  <c r="Z17" i="1" s="1"/>
  <c r="U16" i="1"/>
  <c r="U17" i="1" s="1"/>
  <c r="T16" i="1"/>
  <c r="V16" i="1" s="1"/>
  <c r="V17" i="1" s="1"/>
  <c r="S16" i="1"/>
  <c r="P16" i="1"/>
  <c r="O16" i="1"/>
  <c r="N16" i="1"/>
  <c r="L16" i="1"/>
  <c r="M16" i="1" s="1"/>
  <c r="H16" i="1"/>
  <c r="B16" i="1"/>
  <c r="P15" i="1"/>
  <c r="O15" i="1"/>
  <c r="N15" i="1"/>
  <c r="L15" i="1"/>
  <c r="M15" i="1" s="1"/>
  <c r="H15" i="1"/>
  <c r="B15" i="1"/>
  <c r="AB14" i="1"/>
  <c r="AB15" i="1" s="1"/>
  <c r="Z14" i="1"/>
  <c r="Z15" i="1" s="1"/>
  <c r="T14" i="1"/>
  <c r="V14" i="1" s="1"/>
  <c r="V15" i="1" s="1"/>
  <c r="S14" i="1"/>
  <c r="U14" i="1" s="1"/>
  <c r="U15" i="1" s="1"/>
  <c r="O14" i="1"/>
  <c r="L14" i="1"/>
  <c r="M14" i="1" s="1"/>
  <c r="H14" i="1"/>
  <c r="P14" i="1" s="1"/>
  <c r="Q14" i="1" s="1"/>
  <c r="B14" i="1"/>
  <c r="O13" i="1"/>
  <c r="L13" i="1"/>
  <c r="M13" i="1" s="1"/>
  <c r="H13" i="1"/>
  <c r="P13" i="1" s="1"/>
  <c r="B13" i="1"/>
  <c r="AB12" i="1"/>
  <c r="AB13" i="1" s="1"/>
  <c r="Z12" i="1"/>
  <c r="Z13" i="1" s="1"/>
  <c r="S12" i="1"/>
  <c r="U12" i="1" s="1"/>
  <c r="U13" i="1" s="1"/>
  <c r="P12" i="1"/>
  <c r="O12" i="1"/>
  <c r="T12" i="1" s="1"/>
  <c r="V12" i="1" s="1"/>
  <c r="V13" i="1" s="1"/>
  <c r="N12" i="1"/>
  <c r="L12" i="1"/>
  <c r="M12" i="1" s="1"/>
  <c r="H12" i="1"/>
  <c r="B12" i="1"/>
  <c r="P11" i="1"/>
  <c r="O11" i="1"/>
  <c r="N11" i="1"/>
  <c r="L11" i="1"/>
  <c r="M11" i="1" s="1"/>
  <c r="H11" i="1"/>
  <c r="B11" i="1"/>
  <c r="AB10" i="1"/>
  <c r="AB11" i="1" s="1"/>
  <c r="Z10" i="1"/>
  <c r="Z11" i="1" s="1"/>
  <c r="S10" i="1"/>
  <c r="U10" i="1" s="1"/>
  <c r="U11" i="1" s="1"/>
  <c r="O10" i="1"/>
  <c r="T10" i="1" s="1"/>
  <c r="V10" i="1" s="1"/>
  <c r="V11" i="1" s="1"/>
  <c r="N10" i="1"/>
  <c r="M10" i="1"/>
  <c r="L10" i="1"/>
  <c r="H10" i="1"/>
  <c r="P10" i="1" s="1"/>
  <c r="Q10" i="1" s="1"/>
  <c r="B10" i="1"/>
  <c r="O9" i="1"/>
  <c r="N9" i="1"/>
  <c r="M9" i="1"/>
  <c r="L9" i="1"/>
  <c r="H9" i="1"/>
  <c r="P9" i="1" s="1"/>
  <c r="B9" i="1"/>
  <c r="AB8" i="1"/>
  <c r="AB9" i="1" s="1"/>
  <c r="Z8" i="1"/>
  <c r="Z9" i="1" s="1"/>
  <c r="U8" i="1"/>
  <c r="U9" i="1" s="1"/>
  <c r="T8" i="1"/>
  <c r="V8" i="1" s="1"/>
  <c r="V9" i="1" s="1"/>
  <c r="S8" i="1"/>
  <c r="P8" i="1"/>
  <c r="O8" i="1"/>
  <c r="N8" i="1"/>
  <c r="L8" i="1"/>
  <c r="M8" i="1" s="1"/>
  <c r="H8" i="1"/>
  <c r="B8" i="1"/>
  <c r="P7" i="1"/>
  <c r="O7" i="1"/>
  <c r="N7" i="1"/>
  <c r="L7" i="1"/>
  <c r="M7" i="1" s="1"/>
  <c r="H7" i="1"/>
  <c r="B7" i="1"/>
  <c r="AB6" i="1"/>
  <c r="AB7" i="1" s="1"/>
  <c r="Z6" i="1"/>
  <c r="Z7" i="1" s="1"/>
  <c r="T6" i="1"/>
  <c r="V6" i="1" s="1"/>
  <c r="V7" i="1" s="1"/>
  <c r="S6" i="1"/>
  <c r="U6" i="1" s="1"/>
  <c r="U7" i="1" s="1"/>
  <c r="O6" i="1"/>
  <c r="L6" i="1"/>
  <c r="M6" i="1" s="1"/>
  <c r="H6" i="1"/>
  <c r="P6" i="1" s="1"/>
  <c r="Q6" i="1" s="1"/>
  <c r="B6" i="1"/>
  <c r="Q133" i="1" l="1"/>
  <c r="R132" i="1"/>
  <c r="Q77" i="1"/>
  <c r="R76" i="1"/>
  <c r="Q51" i="1"/>
  <c r="R50" i="1"/>
  <c r="R10" i="1"/>
  <c r="Q11" i="1"/>
  <c r="Q35" i="1"/>
  <c r="R34" i="1"/>
  <c r="Q53" i="1"/>
  <c r="R52" i="1"/>
  <c r="Q75" i="1"/>
  <c r="R74" i="1"/>
  <c r="Q23" i="1"/>
  <c r="R22" i="1"/>
  <c r="Q39" i="1"/>
  <c r="R38" i="1"/>
  <c r="Q85" i="1"/>
  <c r="R84" i="1"/>
  <c r="Q119" i="1"/>
  <c r="R118" i="1"/>
  <c r="Q95" i="1"/>
  <c r="R94" i="1"/>
  <c r="Q143" i="1"/>
  <c r="R142" i="1"/>
  <c r="R14" i="1"/>
  <c r="Q15" i="1"/>
  <c r="Q12" i="1"/>
  <c r="Q31" i="1"/>
  <c r="R30" i="1"/>
  <c r="Q82" i="1"/>
  <c r="Q99" i="1"/>
  <c r="R98" i="1"/>
  <c r="R6" i="1"/>
  <c r="Q7" i="1"/>
  <c r="Q28" i="1"/>
  <c r="Q67" i="1"/>
  <c r="R66" i="1"/>
  <c r="Q115" i="1"/>
  <c r="R114" i="1"/>
  <c r="Q20" i="1"/>
  <c r="Q24" i="1"/>
  <c r="Q69" i="1"/>
  <c r="R68" i="1"/>
  <c r="Q91" i="1"/>
  <c r="R90" i="1"/>
  <c r="Q59" i="1"/>
  <c r="R58" i="1"/>
  <c r="Q61" i="1"/>
  <c r="R60" i="1"/>
  <c r="Q107" i="1"/>
  <c r="R106" i="1"/>
  <c r="Q16" i="1"/>
  <c r="Q8" i="1"/>
  <c r="R18" i="1"/>
  <c r="Q19" i="1"/>
  <c r="R26" i="1"/>
  <c r="Q27" i="1"/>
  <c r="Q42" i="1"/>
  <c r="Q127" i="1"/>
  <c r="R126" i="1"/>
  <c r="Q129" i="1"/>
  <c r="Q55" i="1"/>
  <c r="R54" i="1"/>
  <c r="R56" i="1"/>
  <c r="R64" i="1"/>
  <c r="R72" i="1"/>
  <c r="N35" i="1"/>
  <c r="M44" i="1"/>
  <c r="M45" i="1"/>
  <c r="Q49" i="1"/>
  <c r="Q81" i="1"/>
  <c r="M102" i="1"/>
  <c r="M128" i="1"/>
  <c r="Q130" i="1"/>
  <c r="Q36" i="1"/>
  <c r="Q47" i="1"/>
  <c r="R46" i="1"/>
  <c r="Q63" i="1"/>
  <c r="R62" i="1"/>
  <c r="Q71" i="1"/>
  <c r="R70" i="1"/>
  <c r="M30" i="1"/>
  <c r="M53" i="1"/>
  <c r="M61" i="1"/>
  <c r="M69" i="1"/>
  <c r="M77" i="1"/>
  <c r="M85" i="1"/>
  <c r="Q92" i="1"/>
  <c r="Q105" i="1"/>
  <c r="R122" i="1"/>
  <c r="N130" i="1"/>
  <c r="M130" i="1"/>
  <c r="R138" i="1"/>
  <c r="N6" i="1"/>
  <c r="N13" i="1"/>
  <c r="N14" i="1"/>
  <c r="N21" i="1"/>
  <c r="N22" i="1"/>
  <c r="Q33" i="1"/>
  <c r="M38" i="1"/>
  <c r="M101" i="1"/>
  <c r="M118" i="1"/>
  <c r="N136" i="1"/>
  <c r="M136" i="1"/>
  <c r="Q116" i="1"/>
  <c r="M29" i="1"/>
  <c r="N133" i="1"/>
  <c r="M133" i="1"/>
  <c r="P43" i="1"/>
  <c r="M83" i="1"/>
  <c r="Q108" i="1"/>
  <c r="Q137" i="1"/>
  <c r="Q103" i="1"/>
  <c r="R102" i="1"/>
  <c r="Q96" i="1"/>
  <c r="Q121" i="1"/>
  <c r="M94" i="1"/>
  <c r="Q40" i="1"/>
  <c r="T50" i="1"/>
  <c r="V50" i="1" s="1"/>
  <c r="V51" i="1" s="1"/>
  <c r="T58" i="1"/>
  <c r="V58" i="1" s="1"/>
  <c r="V59" i="1" s="1"/>
  <c r="T66" i="1"/>
  <c r="V66" i="1" s="1"/>
  <c r="V67" i="1" s="1"/>
  <c r="T74" i="1"/>
  <c r="V74" i="1" s="1"/>
  <c r="V75" i="1" s="1"/>
  <c r="T82" i="1"/>
  <c r="V82" i="1" s="1"/>
  <c r="V83" i="1" s="1"/>
  <c r="N127" i="1"/>
  <c r="M127" i="1"/>
  <c r="Q141" i="1"/>
  <c r="Q44" i="1"/>
  <c r="N43" i="1"/>
  <c r="M125" i="1"/>
  <c r="Q124" i="1"/>
  <c r="Q135" i="1"/>
  <c r="R134" i="1"/>
  <c r="M46" i="1"/>
  <c r="M54" i="1"/>
  <c r="M62" i="1"/>
  <c r="M70" i="1"/>
  <c r="M78" i="1"/>
  <c r="M93" i="1"/>
  <c r="Q100" i="1"/>
  <c r="M110" i="1"/>
  <c r="Q113" i="1"/>
  <c r="M147" i="1"/>
  <c r="Q87" i="1"/>
  <c r="R86" i="1"/>
  <c r="Q145" i="1"/>
  <c r="R144" i="1"/>
  <c r="Q79" i="1"/>
  <c r="R78" i="1"/>
  <c r="Q110" i="1"/>
  <c r="Q147" i="1"/>
  <c r="M135" i="1"/>
  <c r="M138" i="1"/>
  <c r="Q101" i="1" l="1"/>
  <c r="R100" i="1"/>
  <c r="Q9" i="1"/>
  <c r="R8" i="1"/>
  <c r="Q25" i="1"/>
  <c r="R24" i="1"/>
  <c r="Q21" i="1"/>
  <c r="R20" i="1"/>
  <c r="Q117" i="1"/>
  <c r="R116" i="1"/>
  <c r="Q43" i="1"/>
  <c r="R42" i="1"/>
  <c r="Q17" i="1"/>
  <c r="R16" i="1"/>
  <c r="Q109" i="1"/>
  <c r="R108" i="1"/>
  <c r="Q131" i="1"/>
  <c r="R130" i="1"/>
  <c r="Q41" i="1"/>
  <c r="R40" i="1"/>
  <c r="Q83" i="1"/>
  <c r="R82" i="1"/>
  <c r="Q13" i="1"/>
  <c r="R12" i="1"/>
  <c r="R44" i="1"/>
  <c r="Q45" i="1"/>
  <c r="R36" i="1"/>
  <c r="Q37" i="1"/>
  <c r="Q125" i="1"/>
  <c r="R124" i="1"/>
  <c r="R96" i="1"/>
  <c r="Q97" i="1"/>
  <c r="Q111" i="1"/>
  <c r="R110" i="1"/>
  <c r="Q93" i="1"/>
  <c r="R92" i="1"/>
  <c r="Q29" i="1"/>
  <c r="R28" i="1"/>
</calcChain>
</file>

<file path=xl/sharedStrings.xml><?xml version="1.0" encoding="utf-8"?>
<sst xmlns="http://schemas.openxmlformats.org/spreadsheetml/2006/main" count="749" uniqueCount="155">
  <si>
    <t>Jméno</t>
  </si>
  <si>
    <t>oddíl</t>
  </si>
  <si>
    <t>Plné</t>
  </si>
  <si>
    <t>Dorážka</t>
  </si>
  <si>
    <t>Chyby</t>
  </si>
  <si>
    <t>Celkem</t>
  </si>
  <si>
    <t>Celkem dvojice</t>
  </si>
  <si>
    <t>Dorážka dvojice</t>
  </si>
  <si>
    <t>Chyby dvojice</t>
  </si>
  <si>
    <t>Turné Vysočina</t>
  </si>
  <si>
    <t xml:space="preserve">    Výsledková listina memoriálu J. Šenkyříka 2025</t>
  </si>
  <si>
    <t>TV-hraje Vysočinu</t>
  </si>
  <si>
    <t>Š-hraje jen Šenkyříka</t>
  </si>
  <si>
    <t>ID</t>
  </si>
  <si>
    <t>Dráha č.1</t>
  </si>
  <si>
    <t>Dráha č.2</t>
  </si>
  <si>
    <t>N-je neregistrovaný</t>
  </si>
  <si>
    <t>Start. pořadí</t>
  </si>
  <si>
    <t>plné</t>
  </si>
  <si>
    <t>dorážka</t>
  </si>
  <si>
    <t>chyby</t>
  </si>
  <si>
    <t>celkem</t>
  </si>
  <si>
    <t>celkem plné</t>
  </si>
  <si>
    <t>celkem dorážka</t>
  </si>
  <si>
    <t>chyby celkem</t>
  </si>
  <si>
    <t>celkem jednotlivec</t>
  </si>
  <si>
    <t>celkem dvojice</t>
  </si>
  <si>
    <t>dvojice dorážka</t>
  </si>
  <si>
    <t>dvojice chyby</t>
  </si>
  <si>
    <t>zde TV nebo Š</t>
  </si>
  <si>
    <t>zde R nbo N</t>
  </si>
  <si>
    <t>R/N</t>
  </si>
  <si>
    <t>zde M / Ž / S</t>
  </si>
  <si>
    <t>"smíšený</t>
  </si>
  <si>
    <t>R-je registrovaný (v kuželkách) pokud jeden z hráčů je neregistrovaný, pak dvojice se počítá mezi registrované</t>
  </si>
  <si>
    <t>Pešák David</t>
  </si>
  <si>
    <t>Pacoši Slavonice</t>
  </si>
  <si>
    <t>TV</t>
  </si>
  <si>
    <t>N</t>
  </si>
  <si>
    <t>M</t>
  </si>
  <si>
    <t>Šívr David</t>
  </si>
  <si>
    <t>Jindra Patrik</t>
  </si>
  <si>
    <t>Ferdan Antonín</t>
  </si>
  <si>
    <t>Heisig Rudolf</t>
  </si>
  <si>
    <t>Marodi Rýmařov</t>
  </si>
  <si>
    <t>Š</t>
  </si>
  <si>
    <t>S</t>
  </si>
  <si>
    <t>Jurášová Alena</t>
  </si>
  <si>
    <t>Hrstka Aleš</t>
  </si>
  <si>
    <t>Nové Město na Moravě</t>
  </si>
  <si>
    <t>R</t>
  </si>
  <si>
    <t>Svobodová Petra</t>
  </si>
  <si>
    <t>Hlisnikovský Petr</t>
  </si>
  <si>
    <t>Hlisnikovský Karel</t>
  </si>
  <si>
    <t>Švub Václav</t>
  </si>
  <si>
    <t>KK Zábřeh</t>
  </si>
  <si>
    <t>Dražil Tomáš</t>
  </si>
  <si>
    <t>Krejčí Libor</t>
  </si>
  <si>
    <t>Jáně Otto</t>
  </si>
  <si>
    <t>Votava Petr</t>
  </si>
  <si>
    <t>TJ Start Jihlava</t>
  </si>
  <si>
    <t>Votava Martin</t>
  </si>
  <si>
    <t>Zavřel Sebastián</t>
  </si>
  <si>
    <t>Kubeš David</t>
  </si>
  <si>
    <t>Švehlík Zdeněk</t>
  </si>
  <si>
    <t>Hlaváček Petr</t>
  </si>
  <si>
    <t>Topinka Zdeněk</t>
  </si>
  <si>
    <t>Faldík Jiří</t>
  </si>
  <si>
    <t>Kuběnová Libuše</t>
  </si>
  <si>
    <t>Ž</t>
  </si>
  <si>
    <t>Partlová Anna</t>
  </si>
  <si>
    <t>Šikula Petr</t>
  </si>
  <si>
    <t>Concepcion Lenka</t>
  </si>
  <si>
    <t>TJ Třebíč</t>
  </si>
  <si>
    <t>Přívratský Jan</t>
  </si>
  <si>
    <t>Česká Třebová</t>
  </si>
  <si>
    <t>Klacl Libor</t>
  </si>
  <si>
    <t>Johannides Martin</t>
  </si>
  <si>
    <t>Vašíček Ladislav</t>
  </si>
  <si>
    <t>Skryja Jakub</t>
  </si>
  <si>
    <t>Bartoš Vladimír</t>
  </si>
  <si>
    <t>Sáblík Pavel</t>
  </si>
  <si>
    <t>Miko Michal</t>
  </si>
  <si>
    <t>Kouhout Pavel</t>
  </si>
  <si>
    <t>Horák Lubomír</t>
  </si>
  <si>
    <t>Kuběnova Liba</t>
  </si>
  <si>
    <t>Svobodova Petra</t>
  </si>
  <si>
    <t>Škoda Pavel</t>
  </si>
  <si>
    <t>Jelínek David</t>
  </si>
  <si>
    <t>KK Slavoj Žirovnice</t>
  </si>
  <si>
    <t>Kočovský Libor</t>
  </si>
  <si>
    <t>Vaníčková Michaela</t>
  </si>
  <si>
    <t>Svojanovský Roman</t>
  </si>
  <si>
    <t>Uhlíř Karel</t>
  </si>
  <si>
    <t>Tenkl Jaroslav</t>
  </si>
  <si>
    <t>Pevný Robert</t>
  </si>
  <si>
    <t>Novotný Mojmír</t>
  </si>
  <si>
    <t>Benda Jaroslav</t>
  </si>
  <si>
    <t>TJ Spartak Pelhrimov</t>
  </si>
  <si>
    <t>Fučík Josef</t>
  </si>
  <si>
    <t>Vytisková Zdenka</t>
  </si>
  <si>
    <t>Novotný Václav</t>
  </si>
  <si>
    <t>Radimská Dagmar</t>
  </si>
  <si>
    <t>Medin</t>
  </si>
  <si>
    <t>Polnická Dana</t>
  </si>
  <si>
    <t>Partl Jiří</t>
  </si>
  <si>
    <t>Mátl Jaroslav</t>
  </si>
  <si>
    <t>Velké Meziříčí</t>
  </si>
  <si>
    <t>Weiss Vladimír</t>
  </si>
  <si>
    <t>Veselý Jiří</t>
  </si>
  <si>
    <t>Veselý Vojtěch</t>
  </si>
  <si>
    <t>Stloukal Miloš</t>
  </si>
  <si>
    <t>Rozsochy nádraží</t>
  </si>
  <si>
    <t>Stloukalová Petra</t>
  </si>
  <si>
    <t>Lovíšek Jozef</t>
  </si>
  <si>
    <t>Příbram</t>
  </si>
  <si>
    <t>Kadaník Petr</t>
  </si>
  <si>
    <t>Zubatý Martin</t>
  </si>
  <si>
    <t>SKK Veverky Brno</t>
  </si>
  <si>
    <t>Večeřa Petr</t>
  </si>
  <si>
    <t>Svoboda Michal</t>
  </si>
  <si>
    <t>Doležal Martin</t>
  </si>
  <si>
    <t>Kupka Petr</t>
  </si>
  <si>
    <t>Za Vodou</t>
  </si>
  <si>
    <t>Petr Martin</t>
  </si>
  <si>
    <t>Vavera David</t>
  </si>
  <si>
    <t>TJ Sokol Niové Veselí</t>
  </si>
  <si>
    <t>Vlček Miroslav</t>
  </si>
  <si>
    <t>Vrkoč Zdeněk</t>
  </si>
  <si>
    <t>Deyssig Petr</t>
  </si>
  <si>
    <t>Holeček Miloš</t>
  </si>
  <si>
    <t>Sochor Stanislav</t>
  </si>
  <si>
    <t>Vrchovina</t>
  </si>
  <si>
    <t>Kulka Pavel</t>
  </si>
  <si>
    <t>Kovařík Václav st.</t>
  </si>
  <si>
    <t>TJ Prostějov</t>
  </si>
  <si>
    <t>Kovařík Václav ml.</t>
  </si>
  <si>
    <t>Černohous Jan</t>
  </si>
  <si>
    <t>Rozsypal David</t>
  </si>
  <si>
    <t>Hlaváčová Lucie</t>
  </si>
  <si>
    <t>Zemanová Markéta</t>
  </si>
  <si>
    <t>TJ BOPO Třebíč</t>
  </si>
  <si>
    <t>Zeman Petr</t>
  </si>
  <si>
    <t>TJ  BOPO Třebíč</t>
  </si>
  <si>
    <t>Stehlík Petr</t>
  </si>
  <si>
    <t>Bonaventura Matěj</t>
  </si>
  <si>
    <t>Sáblíková Lenka</t>
  </si>
  <si>
    <t>Filip Libor</t>
  </si>
  <si>
    <t>Komenda Náchod</t>
  </si>
  <si>
    <t>Rolc Ladislav</t>
  </si>
  <si>
    <t>Pořadí</t>
  </si>
  <si>
    <t/>
  </si>
  <si>
    <t>dráha č. 1</t>
  </si>
  <si>
    <t>dráha č. 2</t>
  </si>
  <si>
    <t>Celkem jednotlivec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</si>
</sst>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color rgb="FF000000"/>
      <name val="Arial"/>
      <scheme val="minor"/>
    </font>
    <font>
      <b/>
      <sz val="10"/>
      <color theme="1"/>
      <name val="Arial"/>
      <scheme val="minor"/>
    </font>
    <font>
      <b/>
      <sz val="10"/>
      <color theme="1"/>
      <name val="Arial"/>
    </font>
    <font>
      <sz val="10"/>
      <color theme="1"/>
      <name val="Arial"/>
    </font>
    <font>
      <b/>
      <sz val="16"/>
      <color theme="1"/>
      <name val="Arial"/>
    </font>
    <font>
      <sz val="8"/>
      <color theme="1"/>
      <name val="Arial"/>
    </font>
    <font>
      <sz val="10"/>
      <color theme="1"/>
      <name val="Arial"/>
      <scheme val="minor"/>
    </font>
    <font>
      <sz val="9"/>
      <color theme="1"/>
      <name val="Arial"/>
    </font>
    <font>
      <b/>
      <sz val="9"/>
      <color theme="1"/>
      <name val="Arial"/>
    </font>
    <font>
      <b/>
      <sz val="8"/>
      <color theme="1"/>
      <name val="Arial"/>
    </font>
    <font>
      <b/>
      <sz val="11"/>
      <color theme="1"/>
      <name val="Arial"/>
    </font>
    <font>
      <sz val="7"/>
      <color theme="1"/>
      <name val="Arial"/>
    </font>
    <font>
      <b/>
      <sz val="15"/>
      <color theme="1"/>
      <name val="Arial"/>
    </font>
    <font>
      <sz val="10"/>
      <name val="Arial"/>
    </font>
    <font>
      <b/>
      <sz val="10"/>
      <color rgb="FFFF0000"/>
      <name val="Arial"/>
    </font>
    <font>
      <b/>
      <sz val="10"/>
      <color theme="1"/>
      <name val="Arial"/>
      <scheme val="minor"/>
    </font>
    <font>
      <sz val="9"/>
      <color theme="1"/>
      <name val="Arial"/>
      <scheme val="minor"/>
    </font>
    <font>
      <sz val="8"/>
      <color theme="1"/>
      <name val="Arial"/>
      <scheme val="minor"/>
    </font>
    <font>
      <b/>
      <sz val="17"/>
      <color theme="1"/>
      <name val="Arial"/>
      <scheme val="minor"/>
    </font>
    <font>
      <b/>
      <sz val="10"/>
      <color rgb="FF000000"/>
      <name val="Arial"/>
      <family val="2"/>
      <charset val="238"/>
      <scheme val="minor"/>
    </font>
    <font>
      <b/>
      <sz val="10"/>
      <color theme="1"/>
      <name val="Arial"/>
      <family val="2"/>
      <charset val="238"/>
      <scheme val="minor"/>
    </font>
    <font>
      <b/>
      <sz val="10"/>
      <name val="Arial"/>
      <family val="2"/>
      <charset val="238"/>
      <scheme val="minor"/>
    </font>
    <font>
      <sz val="10"/>
      <color theme="1"/>
      <name val="Arial"/>
      <family val="2"/>
      <charset val="238"/>
      <scheme val="minor"/>
    </font>
    <font>
      <sz val="10"/>
      <color rgb="FF000000"/>
      <name val="Arial"/>
      <family val="2"/>
      <charset val="238"/>
      <scheme val="minor"/>
    </font>
  </fonts>
  <fills count="4">
    <fill>
      <patternFill patternType="none"/>
    </fill>
    <fill>
      <patternFill patternType="gray125"/>
    </fill>
    <fill>
      <patternFill patternType="solid">
        <fgColor rgb="FFFFFF99"/>
        <bgColor rgb="FFFFFF99"/>
      </patternFill>
    </fill>
    <fill>
      <patternFill patternType="solid">
        <fgColor rgb="FFFFFFCC"/>
        <bgColor rgb="FFFFFFCC"/>
      </patternFill>
    </fill>
  </fills>
  <borders count="78">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bottom/>
      <diagonal/>
    </border>
    <border>
      <left style="medium">
        <color rgb="FF000000"/>
      </left>
      <right style="medium">
        <color rgb="FF000000"/>
      </right>
      <top style="thin">
        <color rgb="FF000000"/>
      </top>
      <bottom/>
      <diagonal/>
    </border>
    <border>
      <left/>
      <right/>
      <top style="thin">
        <color rgb="FF000000"/>
      </top>
      <bottom/>
      <diagonal/>
    </border>
    <border>
      <left/>
      <right style="hair">
        <color rgb="FF000000"/>
      </right>
      <top style="hair">
        <color rgb="FF000000"/>
      </top>
      <bottom style="hair">
        <color rgb="FF000000"/>
      </bottom>
      <diagonal/>
    </border>
    <border>
      <left/>
      <right style="medium">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thin">
        <color rgb="FF000000"/>
      </top>
      <bottom style="hair">
        <color rgb="FF000000"/>
      </bottom>
      <diagonal/>
    </border>
    <border>
      <left/>
      <right style="medium">
        <color rgb="FF000000"/>
      </right>
      <top style="thin">
        <color rgb="FF000000"/>
      </top>
      <bottom style="hair">
        <color rgb="FF000000"/>
      </bottom>
      <diagonal/>
    </border>
    <border>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right style="medium">
        <color rgb="FF000000"/>
      </right>
      <top/>
      <bottom/>
      <diagonal/>
    </border>
    <border>
      <left/>
      <right/>
      <top/>
      <bottom style="thin">
        <color rgb="FF000000"/>
      </bottom>
      <diagonal/>
    </border>
    <border>
      <left style="medium">
        <color rgb="FF000000"/>
      </left>
      <right style="medium">
        <color rgb="FF000000"/>
      </right>
      <top/>
      <bottom style="thin">
        <color rgb="FF000000"/>
      </bottom>
      <diagonal/>
    </border>
    <border>
      <left/>
      <right style="hair">
        <color rgb="FF000000"/>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thin">
        <color rgb="FF000000"/>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right style="hair">
        <color rgb="FF000000"/>
      </right>
      <top/>
      <bottom style="hair">
        <color rgb="FF000000"/>
      </bottom>
      <diagonal/>
    </border>
    <border>
      <left/>
      <right style="medium">
        <color rgb="FF000000"/>
      </right>
      <top/>
      <bottom style="hair">
        <color rgb="FF000000"/>
      </bottom>
      <diagonal/>
    </border>
    <border>
      <left style="medium">
        <color rgb="FF000000"/>
      </left>
      <right/>
      <top/>
      <bottom style="hair">
        <color rgb="FF000000"/>
      </bottom>
      <diagonal/>
    </border>
    <border>
      <left style="thin">
        <color rgb="FF000000"/>
      </left>
      <right style="thin">
        <color rgb="FF000000"/>
      </right>
      <top/>
      <bottom style="hair">
        <color rgb="FF000000"/>
      </bottom>
      <diagonal/>
    </border>
    <border>
      <left/>
      <right/>
      <top/>
      <bottom style="hair">
        <color rgb="FF000000"/>
      </bottom>
      <diagonal/>
    </border>
    <border>
      <left style="thin">
        <color rgb="FF000000"/>
      </left>
      <right style="medium">
        <color rgb="FF000000"/>
      </right>
      <top/>
      <bottom style="hair">
        <color rgb="FF000000"/>
      </bottom>
      <diagonal/>
    </border>
    <border>
      <left style="medium">
        <color rgb="FF000000"/>
      </left>
      <right style="thin">
        <color rgb="FF000000"/>
      </right>
      <top/>
      <bottom style="hair">
        <color rgb="FF000000"/>
      </bottom>
      <diagonal/>
    </border>
    <border>
      <left/>
      <right style="medium">
        <color rgb="FF000000"/>
      </right>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diagonal/>
    </border>
    <border>
      <left/>
      <right style="thin">
        <color rgb="FF000000"/>
      </right>
      <top style="hair">
        <color rgb="FF000000"/>
      </top>
      <bottom style="thin">
        <color rgb="FF000000"/>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right style="thin">
        <color rgb="FF000000"/>
      </right>
      <top style="thin">
        <color rgb="FF000000"/>
      </top>
      <bottom style="dotted">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style="medium">
        <color rgb="FF000000"/>
      </right>
      <top/>
      <bottom/>
      <diagonal/>
    </border>
    <border>
      <left style="medium">
        <color rgb="FF000000"/>
      </left>
      <right style="medium">
        <color rgb="FF000000"/>
      </right>
      <top style="hair">
        <color rgb="FF000000"/>
      </top>
      <bottom/>
      <diagonal/>
    </border>
    <border>
      <left style="medium">
        <color rgb="FF000000"/>
      </left>
      <right/>
      <top/>
      <bottom/>
      <diagonal/>
    </border>
    <border>
      <left/>
      <right style="thin">
        <color rgb="FF000000"/>
      </right>
      <top style="dotted">
        <color rgb="FF000000"/>
      </top>
      <bottom/>
      <diagonal/>
    </border>
    <border>
      <left style="medium">
        <color rgb="FF000000"/>
      </left>
      <right/>
      <top style="hair">
        <color rgb="FF000000"/>
      </top>
      <bottom/>
      <diagonal/>
    </border>
    <border>
      <left style="thin">
        <color rgb="FF000000"/>
      </left>
      <right style="thin">
        <color rgb="FF000000"/>
      </right>
      <top style="hair">
        <color rgb="FF000000"/>
      </top>
      <bottom/>
      <diagonal/>
    </border>
    <border>
      <left/>
      <right/>
      <top style="hair">
        <color rgb="FF000000"/>
      </top>
      <bottom/>
      <diagonal/>
    </border>
    <border>
      <left style="thin">
        <color rgb="FF000000"/>
      </left>
      <right style="medium">
        <color rgb="FF000000"/>
      </right>
      <top style="hair">
        <color rgb="FF000000"/>
      </top>
      <bottom/>
      <diagonal/>
    </border>
    <border>
      <left/>
      <right style="medium">
        <color rgb="FF000000"/>
      </right>
      <top style="hair">
        <color rgb="FF000000"/>
      </top>
      <bottom/>
      <diagonal/>
    </border>
    <border>
      <left style="medium">
        <color rgb="FF000000"/>
      </left>
      <right style="thin">
        <color rgb="FF000000"/>
      </right>
      <top style="hair">
        <color rgb="FF000000"/>
      </top>
      <bottom/>
      <diagonal/>
    </border>
    <border>
      <left style="medium">
        <color rgb="FF000000"/>
      </left>
      <right/>
      <top/>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s>
  <cellStyleXfs count="1">
    <xf numFmtId="0" fontId="0" fillId="0" borderId="0"/>
  </cellStyleXfs>
  <cellXfs count="182">
    <xf numFmtId="0" fontId="0" fillId="0" borderId="0" xfId="0"/>
    <xf numFmtId="0" fontId="1" fillId="0" borderId="0" xfId="0" applyFont="1"/>
    <xf numFmtId="0" fontId="2" fillId="0" borderId="0" xfId="0" applyFont="1" applyAlignment="1">
      <alignment horizontal="center" vertical="center"/>
    </xf>
    <xf numFmtId="0" fontId="2" fillId="0" borderId="0" xfId="0" applyFont="1"/>
    <xf numFmtId="0" fontId="3" fillId="0" borderId="0" xfId="0" applyFont="1"/>
    <xf numFmtId="0" fontId="4" fillId="0" borderId="0" xfId="0" applyFont="1" applyAlignment="1">
      <alignment horizontal="center" vertical="center" wrapText="1"/>
    </xf>
    <xf numFmtId="0" fontId="5" fillId="0" borderId="0" xfId="0" applyFont="1" applyAlignment="1">
      <alignment horizontal="center" vertical="center"/>
    </xf>
    <xf numFmtId="0" fontId="3" fillId="0" borderId="0" xfId="0" applyFont="1" applyAlignment="1">
      <alignment horizontal="center"/>
    </xf>
    <xf numFmtId="0" fontId="6" fillId="0" borderId="0" xfId="0" applyFont="1"/>
    <xf numFmtId="0" fontId="7" fillId="0" borderId="0" xfId="0" applyFont="1"/>
    <xf numFmtId="0" fontId="5" fillId="0" borderId="0" xfId="0" applyFont="1"/>
    <xf numFmtId="0" fontId="2" fillId="0" borderId="1" xfId="0" applyFont="1" applyBorder="1"/>
    <xf numFmtId="0" fontId="2" fillId="0" borderId="2" xfId="0" applyFont="1" applyBorder="1"/>
    <xf numFmtId="0" fontId="2" fillId="0" borderId="3" xfId="0" applyFont="1" applyBorder="1"/>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5" xfId="0" applyFont="1" applyBorder="1" applyAlignment="1">
      <alignment horizontal="center" vertical="center"/>
    </xf>
    <xf numFmtId="0" fontId="9" fillId="0" borderId="3" xfId="0" applyFont="1" applyBorder="1" applyAlignment="1">
      <alignment horizontal="center" vertical="center" textRotation="90" wrapText="1"/>
    </xf>
    <xf numFmtId="0" fontId="2" fillId="0" borderId="1" xfId="0" applyFont="1" applyBorder="1" applyAlignment="1">
      <alignment horizontal="center" vertical="center" textRotation="90" wrapText="1"/>
    </xf>
    <xf numFmtId="0" fontId="2" fillId="0" borderId="6" xfId="0" applyFont="1" applyBorder="1" applyAlignment="1">
      <alignment horizontal="center" vertical="center" textRotation="90" wrapText="1"/>
    </xf>
    <xf numFmtId="0" fontId="2" fillId="0" borderId="2" xfId="0" applyFont="1" applyBorder="1" applyAlignment="1">
      <alignment horizontal="center" vertical="center" textRotation="90" wrapText="1"/>
    </xf>
    <xf numFmtId="0" fontId="2" fillId="2" borderId="7" xfId="0" applyFont="1" applyFill="1" applyBorder="1" applyAlignment="1">
      <alignment horizontal="center" vertical="center" textRotation="90" wrapText="1"/>
    </xf>
    <xf numFmtId="0" fontId="2" fillId="0" borderId="8" xfId="0" applyFont="1" applyBorder="1" applyAlignment="1">
      <alignment horizontal="center" vertical="center" textRotation="90" wrapText="1"/>
    </xf>
    <xf numFmtId="0" fontId="2" fillId="0" borderId="9" xfId="0" applyFont="1" applyBorder="1" applyAlignment="1">
      <alignment horizontal="center" vertical="center" textRotation="90" wrapText="1"/>
    </xf>
    <xf numFmtId="0" fontId="2" fillId="2" borderId="10" xfId="0" applyFont="1" applyFill="1" applyBorder="1" applyAlignment="1">
      <alignment horizontal="center" vertical="center" textRotation="90" wrapText="1"/>
    </xf>
    <xf numFmtId="0" fontId="2" fillId="0" borderId="3" xfId="0" applyFont="1" applyBorder="1" applyAlignment="1">
      <alignment horizontal="center" vertical="center" textRotation="90" wrapText="1"/>
    </xf>
    <xf numFmtId="0" fontId="5" fillId="0" borderId="0" xfId="0" applyFont="1" applyAlignment="1">
      <alignment horizontal="center" vertical="center" textRotation="90" wrapText="1"/>
    </xf>
    <xf numFmtId="0" fontId="3" fillId="0" borderId="0" xfId="0" applyFont="1" applyAlignment="1">
      <alignment horizontal="center" vertical="center" textRotation="90" wrapText="1"/>
    </xf>
    <xf numFmtId="0" fontId="3" fillId="0" borderId="0" xfId="0" applyFont="1" applyAlignment="1">
      <alignment horizontal="center" vertical="center" textRotation="90"/>
    </xf>
    <xf numFmtId="0" fontId="3" fillId="3" borderId="11" xfId="0" applyFont="1" applyFill="1" applyBorder="1" applyAlignment="1">
      <alignment horizontal="center" textRotation="90"/>
    </xf>
    <xf numFmtId="0" fontId="2" fillId="0" borderId="0" xfId="0" applyFont="1" applyAlignment="1">
      <alignment horizontal="center" vertical="center" wrapText="1"/>
    </xf>
    <xf numFmtId="0" fontId="10" fillId="0" borderId="13" xfId="0" applyFont="1" applyBorder="1" applyAlignment="1">
      <alignment horizontal="center" vertical="center"/>
    </xf>
    <xf numFmtId="0" fontId="7" fillId="0" borderId="14" xfId="0" applyFont="1" applyBorder="1" applyAlignment="1">
      <alignment horizontal="left" vertical="center"/>
    </xf>
    <xf numFmtId="0" fontId="11" fillId="0" borderId="15" xfId="0" applyFont="1" applyBorder="1" applyAlignment="1">
      <alignment horizontal="left" vertical="center"/>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2" borderId="19" xfId="0" applyFont="1" applyFill="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2" fillId="2" borderId="23" xfId="0" applyFont="1" applyFill="1" applyBorder="1" applyAlignment="1">
      <alignment horizontal="center" vertical="center"/>
    </xf>
    <xf numFmtId="0" fontId="12" fillId="2" borderId="24" xfId="0" applyFont="1" applyFill="1" applyBorder="1" applyAlignment="1">
      <alignment horizontal="center" vertical="center"/>
    </xf>
    <xf numFmtId="0" fontId="3" fillId="0" borderId="27" xfId="0" applyFont="1" applyBorder="1" applyAlignment="1">
      <alignment horizontal="center" vertical="center"/>
    </xf>
    <xf numFmtId="0" fontId="6" fillId="0" borderId="0" xfId="0" applyFont="1" applyAlignment="1">
      <alignment horizontal="center" vertical="center"/>
    </xf>
    <xf numFmtId="0" fontId="3" fillId="0" borderId="27" xfId="0" applyFont="1" applyBorder="1"/>
    <xf numFmtId="0" fontId="7" fillId="0" borderId="29" xfId="0" applyFont="1" applyBorder="1" applyAlignment="1">
      <alignment horizontal="left" vertical="center"/>
    </xf>
    <xf numFmtId="0" fontId="11" fillId="0" borderId="30" xfId="0" applyFont="1" applyBorder="1" applyAlignment="1">
      <alignment horizontal="left"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2" borderId="34" xfId="0" applyFont="1" applyFill="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2" fillId="2" borderId="37" xfId="0" applyFont="1" applyFill="1" applyBorder="1" applyAlignment="1">
      <alignment horizontal="center" vertical="center"/>
    </xf>
    <xf numFmtId="0" fontId="12" fillId="2" borderId="38" xfId="0" applyFont="1" applyFill="1" applyBorder="1" applyAlignment="1">
      <alignment horizontal="center" vertical="center"/>
    </xf>
    <xf numFmtId="0" fontId="10" fillId="0" borderId="0" xfId="0" applyFont="1" applyAlignment="1">
      <alignment horizontal="center" vertical="center"/>
    </xf>
    <xf numFmtId="0" fontId="7" fillId="0" borderId="41" xfId="0" applyFont="1" applyBorder="1" applyAlignment="1">
      <alignment horizontal="left" vertical="center"/>
    </xf>
    <xf numFmtId="0" fontId="11" fillId="0" borderId="42" xfId="0" applyFont="1" applyBorder="1" applyAlignment="1">
      <alignment horizontal="left" vertic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2" borderId="46" xfId="0" applyFont="1" applyFill="1" applyBorder="1" applyAlignment="1">
      <alignment horizontal="center" vertical="center"/>
    </xf>
    <xf numFmtId="0" fontId="3" fillId="0" borderId="47" xfId="0" applyFont="1" applyBorder="1" applyAlignment="1">
      <alignment horizontal="center" vertical="center"/>
    </xf>
    <xf numFmtId="0" fontId="3" fillId="0" borderId="48" xfId="0" applyFont="1" applyBorder="1" applyAlignment="1">
      <alignment horizontal="center" vertical="center"/>
    </xf>
    <xf numFmtId="0" fontId="2" fillId="2" borderId="49" xfId="0" applyFont="1" applyFill="1" applyBorder="1" applyAlignment="1">
      <alignment horizontal="center" vertical="center"/>
    </xf>
    <xf numFmtId="0" fontId="12" fillId="2" borderId="50" xfId="0" applyFont="1" applyFill="1" applyBorder="1" applyAlignment="1">
      <alignment horizontal="center" vertical="center"/>
    </xf>
    <xf numFmtId="0" fontId="7" fillId="0" borderId="51" xfId="0" applyFont="1" applyBorder="1" applyAlignment="1">
      <alignment horizontal="left" vertical="center"/>
    </xf>
    <xf numFmtId="0" fontId="7" fillId="0" borderId="52" xfId="0" applyFont="1" applyBorder="1" applyAlignment="1">
      <alignment horizontal="left" vertical="center"/>
    </xf>
    <xf numFmtId="0" fontId="11" fillId="0" borderId="52" xfId="0" applyFont="1" applyBorder="1" applyAlignment="1">
      <alignment horizontal="left" vertical="center"/>
    </xf>
    <xf numFmtId="0" fontId="11" fillId="0" borderId="51" xfId="0" applyFont="1" applyBorder="1" applyAlignment="1">
      <alignment horizontal="left" vertical="center"/>
    </xf>
    <xf numFmtId="0" fontId="2" fillId="2" borderId="50" xfId="0" applyFont="1" applyFill="1" applyBorder="1" applyAlignment="1">
      <alignment horizontal="center" vertical="center"/>
    </xf>
    <xf numFmtId="0" fontId="7" fillId="0" borderId="53" xfId="0" applyFont="1" applyBorder="1" applyAlignment="1">
      <alignment horizontal="left" vertical="center"/>
    </xf>
    <xf numFmtId="0" fontId="7" fillId="0" borderId="52" xfId="0" applyFont="1" applyBorder="1"/>
    <xf numFmtId="0" fontId="7" fillId="0" borderId="51" xfId="0" applyFont="1" applyBorder="1"/>
    <xf numFmtId="0" fontId="3" fillId="0" borderId="27" xfId="0" applyFont="1" applyBorder="1" applyAlignment="1">
      <alignment horizontal="center"/>
    </xf>
    <xf numFmtId="0" fontId="5" fillId="0" borderId="27" xfId="0" applyFont="1" applyBorder="1" applyAlignment="1">
      <alignment horizontal="center" vertical="center"/>
    </xf>
    <xf numFmtId="0" fontId="4" fillId="2" borderId="50" xfId="0" applyFont="1" applyFill="1" applyBorder="1" applyAlignment="1">
      <alignment horizontal="center" vertical="center"/>
    </xf>
    <xf numFmtId="0" fontId="4" fillId="2" borderId="38" xfId="0" applyFont="1" applyFill="1" applyBorder="1" applyAlignment="1">
      <alignment horizontal="center" vertical="center"/>
    </xf>
    <xf numFmtId="0" fontId="7" fillId="0" borderId="54" xfId="0" applyFont="1" applyBorder="1" applyAlignment="1">
      <alignment horizontal="left" vertical="center"/>
    </xf>
    <xf numFmtId="0" fontId="11" fillId="0" borderId="55" xfId="0" applyFont="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0" borderId="13" xfId="0" applyFont="1" applyBorder="1" applyAlignment="1">
      <alignment horizontal="center" vertical="center"/>
    </xf>
    <xf numFmtId="0" fontId="3" fillId="2" borderId="58" xfId="0" applyFont="1" applyFill="1" applyBorder="1" applyAlignment="1">
      <alignment horizontal="center" vertical="center"/>
    </xf>
    <xf numFmtId="0" fontId="3" fillId="2" borderId="59" xfId="0" applyFont="1" applyFill="1" applyBorder="1" applyAlignment="1">
      <alignment horizontal="center" vertical="center"/>
    </xf>
    <xf numFmtId="0" fontId="3" fillId="0" borderId="60" xfId="0" applyFont="1" applyBorder="1" applyAlignment="1">
      <alignment horizontal="center" vertical="center"/>
    </xf>
    <xf numFmtId="0" fontId="3" fillId="0" borderId="59" xfId="0" applyFont="1" applyBorder="1" applyAlignment="1">
      <alignment horizontal="center" vertical="center"/>
    </xf>
    <xf numFmtId="0" fontId="3" fillId="0" borderId="61" xfId="0" applyFont="1" applyBorder="1" applyAlignment="1">
      <alignment horizontal="center" vertical="center"/>
    </xf>
    <xf numFmtId="0" fontId="14" fillId="2" borderId="62" xfId="0" applyFont="1" applyFill="1" applyBorder="1" applyAlignment="1">
      <alignment horizontal="center" vertical="center"/>
    </xf>
    <xf numFmtId="0" fontId="4" fillId="2" borderId="24" xfId="0" applyFont="1" applyFill="1" applyBorder="1" applyAlignment="1">
      <alignment horizontal="center" vertical="center"/>
    </xf>
    <xf numFmtId="0" fontId="3" fillId="3" borderId="11" xfId="0" applyFont="1" applyFill="1" applyBorder="1" applyAlignment="1">
      <alignment horizontal="center"/>
    </xf>
    <xf numFmtId="0" fontId="7" fillId="0" borderId="64" xfId="0" applyFont="1" applyBorder="1" applyAlignment="1">
      <alignment horizontal="left" vertical="center"/>
    </xf>
    <xf numFmtId="0" fontId="3" fillId="0" borderId="65" xfId="0" applyFont="1" applyBorder="1" applyAlignment="1">
      <alignment horizontal="center" vertical="center"/>
    </xf>
    <xf numFmtId="0" fontId="3" fillId="0" borderId="66" xfId="0" applyFont="1" applyBorder="1" applyAlignment="1">
      <alignment horizontal="center" vertical="center"/>
    </xf>
    <xf numFmtId="0" fontId="3" fillId="0" borderId="67" xfId="0" applyFont="1" applyBorder="1" applyAlignment="1">
      <alignment horizontal="center" vertical="center"/>
    </xf>
    <xf numFmtId="0" fontId="3" fillId="2" borderId="68" xfId="0" applyFont="1" applyFill="1" applyBorder="1" applyAlignment="1">
      <alignment horizontal="center" vertical="center"/>
    </xf>
    <xf numFmtId="0" fontId="3" fillId="2" borderId="69" xfId="0" applyFont="1" applyFill="1" applyBorder="1" applyAlignment="1">
      <alignment horizontal="center" vertical="center"/>
    </xf>
    <xf numFmtId="0" fontId="3" fillId="0" borderId="70" xfId="0" applyFont="1" applyBorder="1" applyAlignment="1">
      <alignment horizontal="center" vertical="center"/>
    </xf>
    <xf numFmtId="0" fontId="3" fillId="0" borderId="69" xfId="0" applyFont="1" applyBorder="1" applyAlignment="1">
      <alignment horizontal="center" vertical="center"/>
    </xf>
    <xf numFmtId="0" fontId="11" fillId="0" borderId="39" xfId="0" applyFont="1" applyBorder="1" applyAlignment="1">
      <alignment horizontal="left" vertical="center"/>
    </xf>
    <xf numFmtId="0" fontId="1" fillId="0" borderId="72" xfId="0" applyFont="1" applyBorder="1" applyAlignment="1">
      <alignment horizontal="center" vertical="center"/>
    </xf>
    <xf numFmtId="0" fontId="1" fillId="0" borderId="73" xfId="0" applyFont="1" applyBorder="1" applyAlignment="1">
      <alignment horizontal="left" vertical="center"/>
    </xf>
    <xf numFmtId="0" fontId="1" fillId="0" borderId="72" xfId="0" applyFont="1" applyBorder="1" applyAlignment="1">
      <alignment horizontal="left" vertical="center"/>
    </xf>
    <xf numFmtId="0" fontId="1" fillId="0" borderId="73" xfId="0" applyFont="1" applyBorder="1" applyAlignment="1">
      <alignment horizontal="center" vertical="center"/>
    </xf>
    <xf numFmtId="0" fontId="1" fillId="0" borderId="73" xfId="0" applyFont="1" applyBorder="1" applyAlignment="1">
      <alignment horizontal="center" vertical="center" textRotation="90"/>
    </xf>
    <xf numFmtId="0" fontId="1" fillId="0" borderId="72" xfId="0" applyFont="1" applyBorder="1" applyAlignment="1">
      <alignment horizontal="center" vertical="center" textRotation="90"/>
    </xf>
    <xf numFmtId="0" fontId="1" fillId="0" borderId="72" xfId="0" applyFont="1" applyBorder="1" applyAlignment="1">
      <alignment horizontal="center" vertical="center" textRotation="90" wrapText="1"/>
    </xf>
    <xf numFmtId="0" fontId="1" fillId="0" borderId="74" xfId="0" applyFont="1" applyBorder="1" applyAlignment="1">
      <alignment horizontal="center" vertical="center" textRotation="90" wrapText="1"/>
    </xf>
    <xf numFmtId="0" fontId="6" fillId="0" borderId="74" xfId="0" applyFont="1" applyBorder="1" applyAlignment="1">
      <alignment horizontal="center" vertical="center" textRotation="90"/>
    </xf>
    <xf numFmtId="0" fontId="15" fillId="0" borderId="74" xfId="0" applyFont="1" applyBorder="1" applyAlignment="1">
      <alignment horizontal="center" vertical="center" textRotation="90" wrapText="1"/>
    </xf>
    <xf numFmtId="0" fontId="6" fillId="0" borderId="73" xfId="0" applyFont="1" applyBorder="1" applyAlignment="1">
      <alignment horizontal="center" vertical="center" textRotation="90"/>
    </xf>
    <xf numFmtId="0" fontId="6" fillId="0" borderId="73" xfId="0" applyFont="1" applyBorder="1"/>
    <xf numFmtId="0" fontId="16" fillId="3" borderId="45" xfId="0" applyFont="1" applyFill="1" applyBorder="1"/>
    <xf numFmtId="0" fontId="17" fillId="3" borderId="42" xfId="0" applyFont="1" applyFill="1" applyBorder="1"/>
    <xf numFmtId="0" fontId="6" fillId="3" borderId="43" xfId="0" applyFont="1" applyFill="1" applyBorder="1" applyAlignment="1">
      <alignment horizontal="center"/>
    </xf>
    <xf numFmtId="0" fontId="6" fillId="3" borderId="45" xfId="0" applyFont="1" applyFill="1" applyBorder="1" applyAlignment="1">
      <alignment horizontal="center"/>
    </xf>
    <xf numFmtId="0" fontId="6" fillId="3" borderId="42" xfId="0" applyFont="1" applyFill="1" applyBorder="1" applyAlignment="1">
      <alignment horizontal="center"/>
    </xf>
    <xf numFmtId="0" fontId="6" fillId="3" borderId="49" xfId="0" applyFont="1" applyFill="1" applyBorder="1"/>
    <xf numFmtId="0" fontId="6" fillId="3" borderId="0" xfId="0" applyFont="1" applyFill="1"/>
    <xf numFmtId="0" fontId="16" fillId="3" borderId="33" xfId="0" applyFont="1" applyFill="1" applyBorder="1"/>
    <xf numFmtId="0" fontId="17" fillId="3" borderId="30" xfId="0" applyFont="1" applyFill="1" applyBorder="1"/>
    <xf numFmtId="0" fontId="6" fillId="3" borderId="31" xfId="0" applyFont="1" applyFill="1" applyBorder="1" applyAlignment="1">
      <alignment horizontal="center"/>
    </xf>
    <xf numFmtId="0" fontId="6" fillId="3" borderId="33" xfId="0" applyFont="1" applyFill="1" applyBorder="1" applyAlignment="1">
      <alignment horizontal="center"/>
    </xf>
    <xf numFmtId="0" fontId="6" fillId="3" borderId="30" xfId="0" applyFont="1" applyFill="1" applyBorder="1" applyAlignment="1">
      <alignment horizontal="center"/>
    </xf>
    <xf numFmtId="0" fontId="6" fillId="3" borderId="37" xfId="0" applyFont="1" applyFill="1" applyBorder="1"/>
    <xf numFmtId="0" fontId="6" fillId="3" borderId="27" xfId="0" applyFont="1" applyFill="1" applyBorder="1"/>
    <xf numFmtId="0" fontId="16" fillId="0" borderId="45" xfId="0" applyFont="1" applyBorder="1"/>
    <xf numFmtId="0" fontId="17" fillId="0" borderId="42" xfId="0" applyFont="1" applyBorder="1"/>
    <xf numFmtId="0" fontId="6" fillId="0" borderId="43" xfId="0" applyFont="1" applyBorder="1" applyAlignment="1">
      <alignment horizontal="center"/>
    </xf>
    <xf numFmtId="0" fontId="6" fillId="0" borderId="45" xfId="0" applyFont="1" applyBorder="1" applyAlignment="1">
      <alignment horizontal="center"/>
    </xf>
    <xf numFmtId="0" fontId="6" fillId="0" borderId="42" xfId="0" applyFont="1" applyBorder="1" applyAlignment="1">
      <alignment horizontal="center"/>
    </xf>
    <xf numFmtId="0" fontId="6" fillId="0" borderId="0" xfId="0" applyFont="1" applyAlignment="1">
      <alignment horizontal="center"/>
    </xf>
    <xf numFmtId="0" fontId="6" fillId="0" borderId="40" xfId="0" applyFont="1" applyBorder="1"/>
    <xf numFmtId="0" fontId="16" fillId="0" borderId="33" xfId="0" applyFont="1" applyBorder="1"/>
    <xf numFmtId="0" fontId="17" fillId="0" borderId="30" xfId="0" applyFont="1" applyBorder="1"/>
    <xf numFmtId="0" fontId="6" fillId="0" borderId="31" xfId="0" applyFont="1" applyBorder="1" applyAlignment="1">
      <alignment horizontal="center"/>
    </xf>
    <xf numFmtId="0" fontId="6" fillId="0" borderId="33" xfId="0" applyFont="1" applyBorder="1" applyAlignment="1">
      <alignment horizontal="center"/>
    </xf>
    <xf numFmtId="0" fontId="6" fillId="0" borderId="30" xfId="0" applyFont="1" applyBorder="1" applyAlignment="1">
      <alignment horizontal="center"/>
    </xf>
    <xf numFmtId="0" fontId="6" fillId="0" borderId="27" xfId="0" applyFont="1" applyBorder="1" applyAlignment="1">
      <alignment horizontal="center"/>
    </xf>
    <xf numFmtId="0" fontId="6" fillId="0" borderId="28" xfId="0" applyFont="1" applyBorder="1"/>
    <xf numFmtId="0" fontId="6" fillId="0" borderId="27" xfId="0" applyFont="1" applyBorder="1"/>
    <xf numFmtId="0" fontId="1" fillId="0" borderId="76" xfId="0" applyFont="1" applyBorder="1" applyAlignment="1">
      <alignment horizontal="left" vertical="center"/>
    </xf>
    <xf numFmtId="0" fontId="1" fillId="0" borderId="77" xfId="0" applyFont="1" applyBorder="1" applyAlignment="1">
      <alignment horizontal="left" vertical="center"/>
    </xf>
    <xf numFmtId="0" fontId="1" fillId="0" borderId="76" xfId="0" applyFont="1" applyBorder="1" applyAlignment="1">
      <alignment horizontal="center" vertical="center" textRotation="90"/>
    </xf>
    <xf numFmtId="0" fontId="1" fillId="0" borderId="77" xfId="0" applyFont="1" applyBorder="1" applyAlignment="1">
      <alignment horizontal="center" vertical="center" textRotation="90"/>
    </xf>
    <xf numFmtId="0" fontId="1" fillId="0" borderId="77" xfId="0" applyFont="1" applyBorder="1" applyAlignment="1">
      <alignment horizontal="center" vertical="center" textRotation="90" wrapText="1"/>
    </xf>
    <xf numFmtId="0" fontId="1" fillId="0" borderId="75" xfId="0" applyFont="1" applyBorder="1" applyAlignment="1">
      <alignment horizontal="center" vertical="center" textRotation="90" wrapText="1"/>
    </xf>
    <xf numFmtId="0" fontId="6" fillId="0" borderId="75" xfId="0" applyFont="1" applyBorder="1" applyAlignment="1">
      <alignment horizontal="center" vertical="center" textRotation="90"/>
    </xf>
    <xf numFmtId="0" fontId="1" fillId="0" borderId="75" xfId="0" applyFont="1" applyBorder="1" applyAlignment="1">
      <alignment horizontal="center" vertical="center" textRotation="90"/>
    </xf>
    <xf numFmtId="0" fontId="20" fillId="0" borderId="77" xfId="0" applyFont="1" applyBorder="1" applyAlignment="1">
      <alignment horizontal="center" vertical="center" textRotation="90"/>
    </xf>
    <xf numFmtId="0" fontId="20" fillId="0" borderId="77" xfId="0" applyFont="1" applyBorder="1" applyAlignment="1">
      <alignment horizontal="center" vertical="center" textRotation="90" wrapText="1"/>
    </xf>
    <xf numFmtId="0" fontId="21" fillId="0" borderId="76" xfId="0" applyFont="1" applyBorder="1" applyAlignment="1">
      <alignment horizontal="center" vertical="center" textRotation="90"/>
    </xf>
    <xf numFmtId="0" fontId="22" fillId="3" borderId="42" xfId="0" applyFont="1" applyFill="1" applyBorder="1" applyAlignment="1">
      <alignment horizontal="center"/>
    </xf>
    <xf numFmtId="0" fontId="22" fillId="3" borderId="30" xfId="0" applyFont="1" applyFill="1" applyBorder="1" applyAlignment="1">
      <alignment horizontal="center"/>
    </xf>
    <xf numFmtId="0" fontId="22" fillId="0" borderId="42" xfId="0" applyFont="1" applyBorder="1" applyAlignment="1">
      <alignment horizontal="center"/>
    </xf>
    <xf numFmtId="0" fontId="22" fillId="0" borderId="30" xfId="0" applyFont="1" applyBorder="1" applyAlignment="1">
      <alignment horizontal="center"/>
    </xf>
    <xf numFmtId="0" fontId="23" fillId="0" borderId="0" xfId="0" applyFont="1"/>
    <xf numFmtId="0" fontId="10" fillId="0" borderId="12" xfId="0" applyFont="1" applyBorder="1" applyAlignment="1">
      <alignment horizontal="center" vertical="center"/>
    </xf>
    <xf numFmtId="0" fontId="13" fillId="0" borderId="28" xfId="0" applyFont="1" applyBorder="1"/>
    <xf numFmtId="0" fontId="4" fillId="2" borderId="63" xfId="0" applyFont="1" applyFill="1" applyBorder="1" applyAlignment="1">
      <alignment horizontal="center" vertical="center"/>
    </xf>
    <xf numFmtId="0" fontId="13" fillId="0" borderId="71" xfId="0" applyFont="1" applyBorder="1"/>
    <xf numFmtId="0" fontId="3" fillId="0" borderId="0" xfId="0" applyFont="1" applyAlignment="1">
      <alignment horizontal="center" vertical="center"/>
    </xf>
    <xf numFmtId="0" fontId="13" fillId="0" borderId="27" xfId="0" applyFont="1" applyBorder="1"/>
    <xf numFmtId="0" fontId="5" fillId="0" borderId="26" xfId="0" applyFont="1" applyBorder="1" applyAlignment="1">
      <alignment horizontal="center" vertical="center"/>
    </xf>
    <xf numFmtId="0" fontId="13" fillId="0" borderId="39" xfId="0" applyFont="1" applyBorder="1"/>
    <xf numFmtId="0" fontId="4" fillId="2" borderId="40" xfId="0" applyFont="1" applyFill="1" applyBorder="1" applyAlignment="1">
      <alignment horizontal="center" vertical="center"/>
    </xf>
    <xf numFmtId="0" fontId="4" fillId="0" borderId="0" xfId="0" applyFont="1" applyAlignment="1">
      <alignment horizontal="center" vertical="center" wrapText="1"/>
    </xf>
    <xf numFmtId="0" fontId="0" fillId="0" borderId="0" xfId="0"/>
    <xf numFmtId="0" fontId="3" fillId="0" borderId="0" xfId="0" applyFont="1"/>
    <xf numFmtId="0" fontId="10" fillId="0" borderId="40" xfId="0" applyFont="1" applyBorder="1" applyAlignment="1">
      <alignment horizontal="center" vertical="center"/>
    </xf>
    <xf numFmtId="0" fontId="4" fillId="2" borderId="25" xfId="0" applyFont="1" applyFill="1" applyBorder="1" applyAlignment="1">
      <alignment horizontal="center" vertical="center"/>
    </xf>
    <xf numFmtId="0" fontId="15" fillId="0" borderId="26" xfId="0" applyFont="1" applyBorder="1" applyAlignment="1">
      <alignment horizontal="center" vertical="center"/>
    </xf>
    <xf numFmtId="0" fontId="18" fillId="0" borderId="26" xfId="0" applyFont="1" applyBorder="1" applyAlignment="1">
      <alignment horizontal="center" vertical="center"/>
    </xf>
    <xf numFmtId="0" fontId="1" fillId="0" borderId="40" xfId="0" applyFont="1" applyBorder="1" applyAlignment="1">
      <alignment horizontal="center" vertical="center"/>
    </xf>
    <xf numFmtId="0" fontId="6" fillId="0" borderId="40" xfId="0" applyFont="1" applyBorder="1" applyAlignment="1">
      <alignment horizontal="center" vertical="center"/>
    </xf>
    <xf numFmtId="0" fontId="15" fillId="3" borderId="26" xfId="0" applyFont="1" applyFill="1" applyBorder="1" applyAlignment="1">
      <alignment horizontal="center" vertical="center"/>
    </xf>
    <xf numFmtId="0" fontId="18" fillId="3" borderId="26" xfId="0" applyFont="1" applyFill="1" applyBorder="1" applyAlignment="1">
      <alignment horizontal="center" vertical="center"/>
    </xf>
    <xf numFmtId="0" fontId="1" fillId="3" borderId="40" xfId="0" applyFont="1" applyFill="1" applyBorder="1" applyAlignment="1">
      <alignment horizontal="center" vertical="center"/>
    </xf>
    <xf numFmtId="0" fontId="6" fillId="3" borderId="40" xfId="0" applyFont="1" applyFill="1" applyBorder="1" applyAlignment="1">
      <alignment horizontal="center" vertical="center"/>
    </xf>
    <xf numFmtId="0" fontId="13" fillId="0" borderId="26" xfId="0" applyFont="1" applyBorder="1"/>
    <xf numFmtId="0" fontId="19" fillId="0" borderId="75" xfId="0" applyFont="1" applyBorder="1" applyAlignment="1">
      <alignment horizontal="center"/>
    </xf>
  </cellXfs>
  <cellStyles count="1">
    <cellStyle name="Normální" xfId="0" builtinId="0"/>
  </cellStyles>
  <dxfs count="75">
    <dxf>
      <font>
        <b/>
        <color rgb="FFFF0000"/>
      </font>
      <fill>
        <patternFill patternType="none"/>
      </fill>
    </dxf>
    <dxf>
      <font>
        <color theme="0"/>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color rgb="FFFF000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FF0000"/>
      </font>
    </dxf>
    <dxf>
      <font>
        <color rgb="FF00B050"/>
      </font>
    </dxf>
    <dxf>
      <font>
        <color rgb="FFFF0000"/>
      </font>
    </dxf>
    <dxf>
      <font>
        <b/>
        <color rgb="FFFF0000"/>
      </font>
      <fill>
        <patternFill patternType="none"/>
      </fill>
    </dxf>
    <dxf>
      <font>
        <color theme="0"/>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b/>
        <color rgb="FFFF0000"/>
      </font>
      <fill>
        <patternFill patternType="none"/>
      </fill>
    </dxf>
    <dxf>
      <font>
        <color theme="0"/>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b/>
        <color rgb="FFFF0000"/>
      </font>
      <fill>
        <patternFill patternType="none"/>
      </fill>
    </dxf>
    <dxf>
      <font>
        <color theme="0"/>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b/>
        <color rgb="FFFF0000"/>
      </font>
      <fill>
        <patternFill patternType="none"/>
      </fill>
    </dxf>
    <dxf>
      <font>
        <color theme="0"/>
      </font>
      <fill>
        <patternFill patternType="none"/>
      </fill>
    </dxf>
    <dxf>
      <font>
        <b/>
        <color rgb="FF3366FF"/>
      </font>
      <fill>
        <patternFill patternType="none"/>
      </fill>
    </dxf>
    <dxf>
      <font>
        <color rgb="FFFF0000"/>
      </font>
      <fill>
        <patternFill patternType="none"/>
      </fill>
    </dxf>
    <dxf>
      <font>
        <b/>
        <color rgb="FF339966"/>
      </font>
      <fill>
        <patternFill patternType="none"/>
      </fill>
    </dxf>
    <dxf>
      <font>
        <color rgb="FF00CCFF"/>
      </font>
      <fill>
        <patternFill patternType="none"/>
      </fill>
    </dxf>
    <dxf>
      <font>
        <color rgb="FF9900FF"/>
      </font>
      <fill>
        <patternFill patternType="none"/>
      </fill>
    </dxf>
    <dxf>
      <font>
        <color rgb="FFFF0000"/>
      </font>
      <fill>
        <patternFill patternType="none"/>
      </fill>
    </dxf>
    <dxf>
      <font>
        <color rgb="FFFF0000"/>
      </font>
      <fill>
        <patternFill patternType="none"/>
      </fill>
    </dxf>
    <dxf>
      <font>
        <color rgb="FF3366FF"/>
      </font>
      <fill>
        <patternFill patternType="none"/>
      </fill>
    </dxf>
    <dxf>
      <font>
        <color rgb="FF339966"/>
      </font>
      <fill>
        <patternFill patternType="none"/>
      </fill>
    </dxf>
    <dxf>
      <font>
        <color rgb="FFFF0000"/>
      </font>
      <fill>
        <patternFill patternType="none"/>
      </fill>
    </dxf>
    <dxf>
      <font>
        <color rgb="FFFF0000"/>
      </font>
      <fill>
        <patternFill patternType="none"/>
      </fill>
    </dxf>
    <dxf>
      <font>
        <color rgb="FF00CCFF"/>
      </font>
      <fill>
        <patternFill patternType="none"/>
      </fill>
    </dxf>
    <dxf>
      <font>
        <color rgb="FF339966"/>
      </font>
      <fill>
        <patternFill patternType="none"/>
      </fill>
    </dxf>
    <dxf>
      <font>
        <color rgb="FFFF0000"/>
      </font>
      <fill>
        <patternFill patternType="none"/>
      </fill>
    </dxf>
    <dxf>
      <font>
        <color rgb="FF3366FF"/>
      </font>
      <fill>
        <patternFill patternType="none"/>
      </fill>
    </dxf>
    <dxf>
      <font>
        <color rgb="FF339966"/>
      </font>
      <fill>
        <patternFill patternType="none"/>
      </fill>
    </dxf>
    <dxf>
      <font>
        <color rgb="FFFF0000"/>
      </font>
      <fill>
        <patternFill patternType="none"/>
      </fill>
    </dxf>
    <dxf>
      <font>
        <color rgb="FF3366FF"/>
      </font>
      <fill>
        <patternFill patternType="none"/>
      </fill>
    </dxf>
    <dxf>
      <font>
        <color rgb="FF339966"/>
      </font>
      <fill>
        <patternFill patternType="none"/>
      </fill>
    </dxf>
    <dxf>
      <font>
        <color rgb="FFFF0000"/>
      </font>
      <fill>
        <patternFill patternType="none"/>
      </fill>
    </dxf>
    <dxf>
      <font>
        <color rgb="FF3366FF"/>
      </font>
      <fill>
        <patternFill patternType="none"/>
      </fill>
    </dxf>
    <dxf>
      <font>
        <color rgb="FF339966"/>
      </font>
      <fill>
        <patternFill patternType="none"/>
      </fill>
    </dxf>
    <dxf>
      <font>
        <color rgb="FFFF0000"/>
      </font>
      <fill>
        <patternFill patternType="none"/>
      </fill>
    </dxf>
    <dxf>
      <font>
        <color rgb="FFFF0000"/>
      </font>
      <fill>
        <patternFill patternType="none"/>
      </fill>
    </dxf>
    <dxf>
      <font>
        <color rgb="FF339966"/>
      </font>
      <fill>
        <patternFill patternType="none"/>
      </fill>
    </dxf>
    <dxf>
      <font>
        <color rgb="FF339966"/>
      </font>
      <fill>
        <patternFill patternType="none"/>
      </fill>
    </dxf>
    <dxf>
      <font>
        <color rgb="FFFF0000"/>
      </font>
      <fill>
        <patternFill patternType="none"/>
      </fill>
    </dxf>
    <dxf>
      <font>
        <color rgb="FF3366FF"/>
      </font>
      <fill>
        <patternFill patternType="none"/>
      </fill>
    </dxf>
    <dxf>
      <font>
        <color rgb="FF339966"/>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339966"/>
      </font>
      <fill>
        <patternFill patternType="none"/>
      </fill>
    </dxf>
    <dxf>
      <font>
        <color rgb="FF339966"/>
      </font>
      <fill>
        <patternFill patternType="none"/>
      </fill>
    </dxf>
    <dxf>
      <font>
        <color rgb="FFFF0000"/>
      </font>
      <fill>
        <patternFill patternType="none"/>
      </fill>
    </dxf>
    <dxf>
      <font>
        <color rgb="FF339966"/>
      </font>
      <fill>
        <patternFill patternType="none"/>
      </fill>
    </dxf>
    <dxf>
      <font>
        <color rgb="FFFF0000"/>
      </font>
      <fill>
        <patternFill patternType="none"/>
      </fill>
    </dxf>
    <dxf>
      <font>
        <color rgb="FF339966"/>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29</xdr:col>
      <xdr:colOff>0</xdr:colOff>
      <xdr:row>1</xdr:row>
      <xdr:rowOff>0</xdr:rowOff>
    </xdr:from>
    <xdr:ext cx="428625" cy="6191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81"/>
  <sheetViews>
    <sheetView workbookViewId="0">
      <pane ySplit="5" topLeftCell="A6" activePane="bottomLeft" state="frozen"/>
      <selection activeCell="B3" sqref="B3"/>
      <selection pane="bottomLeft" activeCell="B3" sqref="B3"/>
    </sheetView>
  </sheetViews>
  <sheetFormatPr defaultColWidth="12.5703125" defaultRowHeight="15" customHeight="1" x14ac:dyDescent="0.2"/>
  <cols>
    <col min="1" max="1" width="7.5703125" customWidth="1"/>
    <col min="2" max="2" width="8" hidden="1" customWidth="1"/>
    <col min="3" max="3" width="19.85546875" customWidth="1"/>
    <col min="4" max="4" width="13.140625" customWidth="1"/>
    <col min="5" max="12" width="5.7109375" customWidth="1"/>
    <col min="13" max="15" width="5.85546875" customWidth="1"/>
    <col min="16" max="16" width="7" customWidth="1"/>
    <col min="17" max="17" width="14.85546875" hidden="1" customWidth="1"/>
    <col min="18" max="18" width="9.28515625" customWidth="1"/>
    <col min="19" max="20" width="5.140625" customWidth="1"/>
    <col min="21" max="22" width="5.42578125" hidden="1" customWidth="1"/>
    <col min="23" max="23" width="5.42578125" customWidth="1"/>
    <col min="24" max="24" width="5.7109375" hidden="1" customWidth="1"/>
    <col min="25" max="25" width="5.7109375" customWidth="1"/>
    <col min="26" max="27" width="4.5703125" customWidth="1"/>
    <col min="28" max="28" width="4.42578125" hidden="1" customWidth="1"/>
    <col min="29" max="29" width="20.7109375" customWidth="1"/>
    <col min="30" max="30" width="19.5703125" customWidth="1"/>
  </cols>
  <sheetData>
    <row r="1" spans="1:30" ht="12.75" hidden="1" x14ac:dyDescent="0.2">
      <c r="A1" s="1"/>
      <c r="B1" s="2"/>
      <c r="C1" s="2" t="s">
        <v>0</v>
      </c>
      <c r="D1" s="2" t="s">
        <v>1</v>
      </c>
      <c r="E1" s="2"/>
      <c r="F1" s="2"/>
      <c r="G1" s="2"/>
      <c r="H1" s="2"/>
      <c r="I1" s="2"/>
      <c r="J1" s="2"/>
      <c r="K1" s="2"/>
      <c r="L1" s="2"/>
      <c r="M1" s="2" t="s">
        <v>2</v>
      </c>
      <c r="N1" s="2" t="s">
        <v>3</v>
      </c>
      <c r="O1" s="2" t="s">
        <v>4</v>
      </c>
      <c r="P1" s="2" t="s">
        <v>5</v>
      </c>
      <c r="Q1" s="2" t="s">
        <v>6</v>
      </c>
      <c r="R1" s="2" t="s">
        <v>6</v>
      </c>
      <c r="S1" s="2" t="s">
        <v>7</v>
      </c>
      <c r="T1" s="2" t="s">
        <v>8</v>
      </c>
      <c r="U1" s="2"/>
      <c r="V1" s="2"/>
      <c r="W1" s="2" t="s">
        <v>9</v>
      </c>
      <c r="X1" s="2"/>
      <c r="Y1" s="2"/>
      <c r="Z1" s="2"/>
      <c r="AA1" s="2"/>
      <c r="AB1" s="2"/>
      <c r="AC1" s="3"/>
      <c r="AD1" s="4"/>
    </row>
    <row r="2" spans="1:30" ht="48.75" customHeight="1" x14ac:dyDescent="0.2">
      <c r="B2" s="5"/>
      <c r="C2" s="167" t="s">
        <v>10</v>
      </c>
      <c r="D2" s="168"/>
      <c r="E2" s="168"/>
      <c r="F2" s="168"/>
      <c r="G2" s="168"/>
      <c r="H2" s="168"/>
      <c r="I2" s="168"/>
      <c r="J2" s="168"/>
      <c r="K2" s="168"/>
      <c r="L2" s="168"/>
      <c r="M2" s="168"/>
      <c r="N2" s="168"/>
      <c r="O2" s="168"/>
      <c r="P2" s="168"/>
      <c r="Q2" s="168"/>
      <c r="R2" s="168"/>
      <c r="S2" s="5"/>
      <c r="T2" s="5"/>
      <c r="U2" s="5"/>
      <c r="V2" s="5"/>
      <c r="W2" s="5"/>
      <c r="X2" s="5"/>
      <c r="Y2" s="5"/>
      <c r="Z2" s="5"/>
      <c r="AA2" s="5"/>
      <c r="AB2" s="5"/>
      <c r="AC2" s="3" t="s">
        <v>11</v>
      </c>
      <c r="AD2" s="169"/>
    </row>
    <row r="3" spans="1:30" ht="15" customHeight="1" x14ac:dyDescent="0.2">
      <c r="A3" s="5"/>
      <c r="B3" s="5"/>
      <c r="C3" s="5"/>
      <c r="D3" s="5"/>
      <c r="E3" s="5"/>
      <c r="F3" s="5"/>
      <c r="G3" s="5"/>
      <c r="H3" s="5"/>
      <c r="I3" s="5"/>
      <c r="J3" s="5"/>
      <c r="K3" s="5"/>
      <c r="L3" s="5"/>
      <c r="M3" s="5"/>
      <c r="N3" s="5"/>
      <c r="O3" s="5"/>
      <c r="P3" s="5"/>
      <c r="Q3" s="5"/>
      <c r="R3" s="5"/>
      <c r="S3" s="6"/>
      <c r="T3" s="6"/>
      <c r="U3" s="7"/>
      <c r="V3" s="7"/>
      <c r="W3" s="7"/>
      <c r="X3" s="7"/>
      <c r="Y3" s="7"/>
      <c r="Z3" s="7"/>
      <c r="AA3" s="7"/>
      <c r="AB3" s="7"/>
      <c r="AC3" s="3" t="s">
        <v>12</v>
      </c>
      <c r="AD3" s="168"/>
    </row>
    <row r="4" spans="1:30" ht="15" customHeight="1" x14ac:dyDescent="0.2">
      <c r="A4" s="8" t="s">
        <v>13</v>
      </c>
      <c r="C4" s="9"/>
      <c r="D4" s="10"/>
      <c r="E4" s="11"/>
      <c r="F4" s="12" t="s">
        <v>14</v>
      </c>
      <c r="G4" s="12"/>
      <c r="H4" s="13"/>
      <c r="I4" s="11"/>
      <c r="J4" s="12" t="s">
        <v>15</v>
      </c>
      <c r="K4" s="12"/>
      <c r="L4" s="13"/>
      <c r="M4" s="4"/>
      <c r="N4" s="4"/>
      <c r="O4" s="4"/>
      <c r="P4" s="4"/>
      <c r="Q4" s="4"/>
      <c r="R4" s="4"/>
      <c r="S4" s="6"/>
      <c r="T4" s="6"/>
      <c r="U4" s="7"/>
      <c r="V4" s="7"/>
      <c r="W4" s="7"/>
      <c r="X4" s="7"/>
      <c r="Y4" s="7"/>
      <c r="Z4" s="7"/>
      <c r="AA4" s="7"/>
      <c r="AB4" s="7"/>
      <c r="AC4" s="3" t="s">
        <v>16</v>
      </c>
      <c r="AD4" s="168"/>
    </row>
    <row r="5" spans="1:30" ht="88.5" customHeight="1" x14ac:dyDescent="0.2">
      <c r="A5" s="14" t="s">
        <v>17</v>
      </c>
      <c r="B5" s="15"/>
      <c r="C5" s="16" t="s">
        <v>0</v>
      </c>
      <c r="D5" s="17" t="s">
        <v>1</v>
      </c>
      <c r="E5" s="18" t="s">
        <v>18</v>
      </c>
      <c r="F5" s="19" t="s">
        <v>19</v>
      </c>
      <c r="G5" s="20" t="s">
        <v>20</v>
      </c>
      <c r="H5" s="21" t="s">
        <v>21</v>
      </c>
      <c r="I5" s="18" t="s">
        <v>18</v>
      </c>
      <c r="J5" s="19" t="s">
        <v>19</v>
      </c>
      <c r="K5" s="20" t="s">
        <v>20</v>
      </c>
      <c r="L5" s="21" t="s">
        <v>21</v>
      </c>
      <c r="M5" s="22" t="s">
        <v>22</v>
      </c>
      <c r="N5" s="23" t="s">
        <v>23</v>
      </c>
      <c r="O5" s="23" t="s">
        <v>24</v>
      </c>
      <c r="P5" s="24" t="s">
        <v>25</v>
      </c>
      <c r="Q5" s="24" t="s">
        <v>26</v>
      </c>
      <c r="R5" s="24" t="s">
        <v>26</v>
      </c>
      <c r="S5" s="25" t="s">
        <v>27</v>
      </c>
      <c r="T5" s="25" t="s">
        <v>28</v>
      </c>
      <c r="U5" s="26" t="s">
        <v>27</v>
      </c>
      <c r="V5" s="26" t="s">
        <v>28</v>
      </c>
      <c r="W5" s="27" t="s">
        <v>29</v>
      </c>
      <c r="X5" s="27"/>
      <c r="Y5" s="27" t="s">
        <v>30</v>
      </c>
      <c r="Z5" s="28" t="s">
        <v>31</v>
      </c>
      <c r="AA5" s="28" t="s">
        <v>32</v>
      </c>
      <c r="AB5" s="29" t="s">
        <v>33</v>
      </c>
      <c r="AC5" s="30" t="s">
        <v>34</v>
      </c>
      <c r="AD5" s="168"/>
    </row>
    <row r="6" spans="1:30" ht="15.75" customHeight="1" x14ac:dyDescent="0.2">
      <c r="A6" s="158">
        <v>1</v>
      </c>
      <c r="B6" s="31">
        <f>A6</f>
        <v>1</v>
      </c>
      <c r="C6" s="32" t="s">
        <v>35</v>
      </c>
      <c r="D6" s="33" t="s">
        <v>36</v>
      </c>
      <c r="E6" s="34">
        <v>141</v>
      </c>
      <c r="F6" s="35">
        <v>78</v>
      </c>
      <c r="G6" s="36">
        <v>0</v>
      </c>
      <c r="H6" s="37">
        <f t="shared" ref="H6:H147" si="0">IF(E6="","",SUM(E6+F6))</f>
        <v>219</v>
      </c>
      <c r="I6" s="34">
        <v>155</v>
      </c>
      <c r="J6" s="35">
        <v>96</v>
      </c>
      <c r="K6" s="36">
        <v>0</v>
      </c>
      <c r="L6" s="37">
        <f t="shared" ref="L6:L147" si="1">IF(I6="","",SUM(I6+J6))</f>
        <v>251</v>
      </c>
      <c r="M6" s="38">
        <f t="shared" ref="M6:M147" si="2">IF(L6="","",SUM(E6+I6))</f>
        <v>296</v>
      </c>
      <c r="N6" s="39">
        <f t="shared" ref="N6:N147" si="3">IF(L6="","",SUM(F6+J6))</f>
        <v>174</v>
      </c>
      <c r="O6" s="40">
        <f t="shared" ref="O6:O147" si="4">G6+K6</f>
        <v>0</v>
      </c>
      <c r="P6" s="41">
        <f t="shared" ref="P6:P147" si="5">SUM(H6,L6)</f>
        <v>470</v>
      </c>
      <c r="Q6" s="42">
        <f>IF(P6="","",SUM(P6+P7))</f>
        <v>924</v>
      </c>
      <c r="R6" s="171">
        <f>Q6</f>
        <v>924</v>
      </c>
      <c r="S6" s="164">
        <f>F6+J6+F7+J7</f>
        <v>338</v>
      </c>
      <c r="T6" s="164">
        <f>IF(O6="","",SUM(O6+O7))</f>
        <v>4</v>
      </c>
      <c r="U6" s="43">
        <f t="shared" ref="U6:V6" si="6">S6</f>
        <v>338</v>
      </c>
      <c r="V6" s="43">
        <f t="shared" si="6"/>
        <v>4</v>
      </c>
      <c r="W6" s="162" t="s">
        <v>37</v>
      </c>
      <c r="X6" s="43" t="s">
        <v>37</v>
      </c>
      <c r="Y6" s="162" t="s">
        <v>38</v>
      </c>
      <c r="Z6" s="43" t="str">
        <f>Y6</f>
        <v>N</v>
      </c>
      <c r="AA6" s="162" t="s">
        <v>39</v>
      </c>
      <c r="AB6" s="44" t="str">
        <f>IF(AA6="M", "M", IF(AA6="Ž", "Ž", IF(AA6="S", "S", "")))</f>
        <v>M</v>
      </c>
      <c r="AC6" s="168"/>
      <c r="AD6" s="168"/>
    </row>
    <row r="7" spans="1:30" ht="15.75" customHeight="1" x14ac:dyDescent="0.2">
      <c r="A7" s="159"/>
      <c r="B7" s="45">
        <f>A6</f>
        <v>1</v>
      </c>
      <c r="C7" s="46" t="s">
        <v>40</v>
      </c>
      <c r="D7" s="47" t="s">
        <v>36</v>
      </c>
      <c r="E7" s="48">
        <v>145</v>
      </c>
      <c r="F7" s="49">
        <v>76</v>
      </c>
      <c r="G7" s="50">
        <v>3</v>
      </c>
      <c r="H7" s="51">
        <f t="shared" si="0"/>
        <v>221</v>
      </c>
      <c r="I7" s="48">
        <v>145</v>
      </c>
      <c r="J7" s="49">
        <v>88</v>
      </c>
      <c r="K7" s="50">
        <v>1</v>
      </c>
      <c r="L7" s="51">
        <f t="shared" si="1"/>
        <v>233</v>
      </c>
      <c r="M7" s="52">
        <f t="shared" si="2"/>
        <v>290</v>
      </c>
      <c r="N7" s="53">
        <f t="shared" si="3"/>
        <v>164</v>
      </c>
      <c r="O7" s="53">
        <f t="shared" si="4"/>
        <v>4</v>
      </c>
      <c r="P7" s="54">
        <f t="shared" si="5"/>
        <v>454</v>
      </c>
      <c r="Q7" s="55">
        <f>Q6</f>
        <v>924</v>
      </c>
      <c r="R7" s="159"/>
      <c r="S7" s="165"/>
      <c r="T7" s="165"/>
      <c r="U7" s="43">
        <f t="shared" ref="U7:V7" si="7">U6</f>
        <v>338</v>
      </c>
      <c r="V7" s="43">
        <f t="shared" si="7"/>
        <v>4</v>
      </c>
      <c r="W7" s="163"/>
      <c r="X7" s="43" t="s">
        <v>37</v>
      </c>
      <c r="Y7" s="163"/>
      <c r="Z7" s="43" t="str">
        <f>Z6</f>
        <v>N</v>
      </c>
      <c r="AA7" s="163"/>
      <c r="AB7" s="44" t="str">
        <f>AB6</f>
        <v>M</v>
      </c>
      <c r="AC7" s="168"/>
      <c r="AD7" s="168"/>
    </row>
    <row r="8" spans="1:30" ht="15.75" customHeight="1" x14ac:dyDescent="0.2">
      <c r="A8" s="170">
        <v>2</v>
      </c>
      <c r="B8" s="56">
        <f>A8</f>
        <v>2</v>
      </c>
      <c r="C8" s="57" t="s">
        <v>41</v>
      </c>
      <c r="D8" s="58" t="s">
        <v>36</v>
      </c>
      <c r="E8" s="59">
        <v>147</v>
      </c>
      <c r="F8" s="60">
        <v>70</v>
      </c>
      <c r="G8" s="61">
        <v>1</v>
      </c>
      <c r="H8" s="62">
        <f t="shared" si="0"/>
        <v>217</v>
      </c>
      <c r="I8" s="59">
        <v>141</v>
      </c>
      <c r="J8" s="60">
        <v>62</v>
      </c>
      <c r="K8" s="61">
        <v>2</v>
      </c>
      <c r="L8" s="62">
        <f t="shared" si="1"/>
        <v>203</v>
      </c>
      <c r="M8" s="63">
        <f t="shared" si="2"/>
        <v>288</v>
      </c>
      <c r="N8" s="64">
        <f t="shared" si="3"/>
        <v>132</v>
      </c>
      <c r="O8" s="64">
        <f t="shared" si="4"/>
        <v>3</v>
      </c>
      <c r="P8" s="65">
        <f t="shared" si="5"/>
        <v>420</v>
      </c>
      <c r="Q8" s="66">
        <f>IF(P8="","",SUM(P8+P9))</f>
        <v>799</v>
      </c>
      <c r="R8" s="166">
        <f>Q8</f>
        <v>799</v>
      </c>
      <c r="S8" s="164">
        <f>F8+J8+F9+J9</f>
        <v>248</v>
      </c>
      <c r="T8" s="164">
        <f>IF(O8="","",SUM(O8+O9))</f>
        <v>11</v>
      </c>
      <c r="U8" s="43">
        <f t="shared" ref="U8:V8" si="8">S8</f>
        <v>248</v>
      </c>
      <c r="V8" s="43">
        <f t="shared" si="8"/>
        <v>11</v>
      </c>
      <c r="W8" s="162" t="s">
        <v>37</v>
      </c>
      <c r="X8" s="43" t="s">
        <v>37</v>
      </c>
      <c r="Y8" s="162" t="s">
        <v>38</v>
      </c>
      <c r="Z8" s="43" t="str">
        <f>Y8</f>
        <v>N</v>
      </c>
      <c r="AA8" s="162" t="s">
        <v>39</v>
      </c>
      <c r="AB8" s="44" t="str">
        <f>IF(AA8="M", "M", IF(AA8="Ž", "Ž", IF(AA8="S", "S", "")))</f>
        <v>M</v>
      </c>
      <c r="AC8" s="168"/>
      <c r="AD8" s="168"/>
    </row>
    <row r="9" spans="1:30" ht="15.75" customHeight="1" x14ac:dyDescent="0.2">
      <c r="A9" s="159"/>
      <c r="B9" s="45">
        <f>A8</f>
        <v>2</v>
      </c>
      <c r="C9" s="67" t="s">
        <v>42</v>
      </c>
      <c r="D9" s="47" t="s">
        <v>36</v>
      </c>
      <c r="E9" s="48">
        <v>148</v>
      </c>
      <c r="F9" s="49">
        <v>71</v>
      </c>
      <c r="G9" s="50">
        <v>3</v>
      </c>
      <c r="H9" s="51">
        <f t="shared" si="0"/>
        <v>219</v>
      </c>
      <c r="I9" s="48">
        <v>115</v>
      </c>
      <c r="J9" s="49">
        <v>45</v>
      </c>
      <c r="K9" s="50">
        <v>5</v>
      </c>
      <c r="L9" s="51">
        <f t="shared" si="1"/>
        <v>160</v>
      </c>
      <c r="M9" s="52">
        <f t="shared" si="2"/>
        <v>263</v>
      </c>
      <c r="N9" s="53">
        <f t="shared" si="3"/>
        <v>116</v>
      </c>
      <c r="O9" s="53">
        <f t="shared" si="4"/>
        <v>8</v>
      </c>
      <c r="P9" s="54">
        <f t="shared" si="5"/>
        <v>379</v>
      </c>
      <c r="Q9" s="55">
        <f>Q8</f>
        <v>799</v>
      </c>
      <c r="R9" s="159"/>
      <c r="S9" s="165"/>
      <c r="T9" s="165"/>
      <c r="U9" s="43">
        <f t="shared" ref="U9:V9" si="9">U8</f>
        <v>248</v>
      </c>
      <c r="V9" s="43">
        <f t="shared" si="9"/>
        <v>11</v>
      </c>
      <c r="W9" s="163"/>
      <c r="X9" s="43" t="s">
        <v>37</v>
      </c>
      <c r="Y9" s="163"/>
      <c r="Z9" s="43" t="str">
        <f>Z8</f>
        <v>N</v>
      </c>
      <c r="AA9" s="163"/>
      <c r="AB9" s="44" t="str">
        <f>AB8</f>
        <v>M</v>
      </c>
      <c r="AC9" s="168"/>
      <c r="AD9" s="168"/>
    </row>
    <row r="10" spans="1:30" ht="15.75" customHeight="1" x14ac:dyDescent="0.2">
      <c r="A10" s="158">
        <v>3</v>
      </c>
      <c r="B10" s="31">
        <f>A10</f>
        <v>3</v>
      </c>
      <c r="C10" s="68" t="s">
        <v>43</v>
      </c>
      <c r="D10" s="33" t="s">
        <v>44</v>
      </c>
      <c r="E10" s="34">
        <v>128</v>
      </c>
      <c r="F10" s="35">
        <v>51</v>
      </c>
      <c r="G10" s="36">
        <v>8</v>
      </c>
      <c r="H10" s="37">
        <f t="shared" si="0"/>
        <v>179</v>
      </c>
      <c r="I10" s="34">
        <v>148</v>
      </c>
      <c r="J10" s="35">
        <v>36</v>
      </c>
      <c r="K10" s="36">
        <v>7</v>
      </c>
      <c r="L10" s="37">
        <f t="shared" si="1"/>
        <v>184</v>
      </c>
      <c r="M10" s="38">
        <f t="shared" si="2"/>
        <v>276</v>
      </c>
      <c r="N10" s="39">
        <f t="shared" si="3"/>
        <v>87</v>
      </c>
      <c r="O10" s="64">
        <f t="shared" si="4"/>
        <v>15</v>
      </c>
      <c r="P10" s="65">
        <f t="shared" si="5"/>
        <v>363</v>
      </c>
      <c r="Q10" s="42">
        <f>IF(P10="","",SUM(P10+P11))</f>
        <v>741</v>
      </c>
      <c r="R10" s="166">
        <f>Q10</f>
        <v>741</v>
      </c>
      <c r="S10" s="164">
        <f>F10+J10+F11+J11</f>
        <v>201</v>
      </c>
      <c r="T10" s="164">
        <f>IF(O10="","",SUM(O10+O11))</f>
        <v>25</v>
      </c>
      <c r="U10" s="43">
        <f t="shared" ref="U10:V10" si="10">S10</f>
        <v>201</v>
      </c>
      <c r="V10" s="43">
        <f t="shared" si="10"/>
        <v>25</v>
      </c>
      <c r="W10" s="162" t="s">
        <v>45</v>
      </c>
      <c r="X10" s="43" t="s">
        <v>45</v>
      </c>
      <c r="Y10" s="162" t="s">
        <v>38</v>
      </c>
      <c r="Z10" s="43" t="str">
        <f>Y10</f>
        <v>N</v>
      </c>
      <c r="AA10" s="162" t="s">
        <v>46</v>
      </c>
      <c r="AB10" s="44" t="str">
        <f>IF(AA10="M", "M", IF(AA10="Ž", "Ž", IF(AA10="S", "S", "")))</f>
        <v>S</v>
      </c>
      <c r="AC10" s="168"/>
      <c r="AD10" s="168"/>
    </row>
    <row r="11" spans="1:30" ht="15.75" customHeight="1" x14ac:dyDescent="0.2">
      <c r="A11" s="159"/>
      <c r="B11" s="45">
        <f>A10</f>
        <v>3</v>
      </c>
      <c r="C11" s="67" t="s">
        <v>47</v>
      </c>
      <c r="D11" s="47" t="s">
        <v>44</v>
      </c>
      <c r="E11" s="48">
        <v>126</v>
      </c>
      <c r="F11" s="49">
        <v>52</v>
      </c>
      <c r="G11" s="50">
        <v>8</v>
      </c>
      <c r="H11" s="51">
        <f t="shared" si="0"/>
        <v>178</v>
      </c>
      <c r="I11" s="48">
        <v>138</v>
      </c>
      <c r="J11" s="49">
        <v>62</v>
      </c>
      <c r="K11" s="50">
        <v>2</v>
      </c>
      <c r="L11" s="51">
        <f t="shared" si="1"/>
        <v>200</v>
      </c>
      <c r="M11" s="52">
        <f t="shared" si="2"/>
        <v>264</v>
      </c>
      <c r="N11" s="53">
        <f t="shared" si="3"/>
        <v>114</v>
      </c>
      <c r="O11" s="53">
        <f t="shared" si="4"/>
        <v>10</v>
      </c>
      <c r="P11" s="54">
        <f t="shared" si="5"/>
        <v>378</v>
      </c>
      <c r="Q11" s="55">
        <f>Q10</f>
        <v>741</v>
      </c>
      <c r="R11" s="159"/>
      <c r="S11" s="165"/>
      <c r="T11" s="165"/>
      <c r="U11" s="43">
        <f t="shared" ref="U11:V11" si="11">U10</f>
        <v>201</v>
      </c>
      <c r="V11" s="43">
        <f t="shared" si="11"/>
        <v>25</v>
      </c>
      <c r="W11" s="163"/>
      <c r="X11" s="43" t="s">
        <v>45</v>
      </c>
      <c r="Y11" s="163"/>
      <c r="Z11" s="43" t="str">
        <f>Z10</f>
        <v>N</v>
      </c>
      <c r="AA11" s="163"/>
      <c r="AB11" s="44" t="str">
        <f>AB10</f>
        <v>S</v>
      </c>
      <c r="AC11" s="168"/>
      <c r="AD11" s="168"/>
    </row>
    <row r="12" spans="1:30" ht="15.75" customHeight="1" x14ac:dyDescent="0.2">
      <c r="A12" s="158">
        <v>4</v>
      </c>
      <c r="B12" s="31">
        <f>A12</f>
        <v>4</v>
      </c>
      <c r="C12" s="68" t="s">
        <v>48</v>
      </c>
      <c r="D12" s="33" t="s">
        <v>49</v>
      </c>
      <c r="E12" s="34">
        <v>133</v>
      </c>
      <c r="F12" s="35">
        <v>80</v>
      </c>
      <c r="G12" s="36">
        <v>2</v>
      </c>
      <c r="H12" s="37">
        <f t="shared" si="0"/>
        <v>213</v>
      </c>
      <c r="I12" s="34">
        <v>128</v>
      </c>
      <c r="J12" s="35">
        <v>58</v>
      </c>
      <c r="K12" s="36">
        <v>6</v>
      </c>
      <c r="L12" s="37">
        <f t="shared" si="1"/>
        <v>186</v>
      </c>
      <c r="M12" s="38">
        <f t="shared" si="2"/>
        <v>261</v>
      </c>
      <c r="N12" s="39">
        <f t="shared" si="3"/>
        <v>138</v>
      </c>
      <c r="O12" s="64">
        <f t="shared" si="4"/>
        <v>8</v>
      </c>
      <c r="P12" s="65">
        <f t="shared" si="5"/>
        <v>399</v>
      </c>
      <c r="Q12" s="42">
        <f>IF(P12="","",SUM(P12+P13))</f>
        <v>798</v>
      </c>
      <c r="R12" s="166">
        <f>Q12</f>
        <v>798</v>
      </c>
      <c r="S12" s="164">
        <f>F12+J12+F13+J13</f>
        <v>259</v>
      </c>
      <c r="T12" s="164">
        <f>IF(O12="","",SUM(O12+O13))</f>
        <v>14</v>
      </c>
      <c r="U12" s="43">
        <f t="shared" ref="U12:V12" si="12">S12</f>
        <v>259</v>
      </c>
      <c r="V12" s="43">
        <f t="shared" si="12"/>
        <v>14</v>
      </c>
      <c r="W12" s="162" t="s">
        <v>45</v>
      </c>
      <c r="X12" s="43" t="s">
        <v>45</v>
      </c>
      <c r="Y12" s="162" t="s">
        <v>50</v>
      </c>
      <c r="Z12" s="43" t="str">
        <f>Y12</f>
        <v>R</v>
      </c>
      <c r="AA12" s="162" t="s">
        <v>46</v>
      </c>
      <c r="AB12" s="44" t="str">
        <f>IF(AA12="M", "M", IF(AA12="Ž", "Ž", IF(AA12="S", "S", "")))</f>
        <v>S</v>
      </c>
      <c r="AC12" s="168"/>
      <c r="AD12" s="168"/>
    </row>
    <row r="13" spans="1:30" ht="15.75" customHeight="1" x14ac:dyDescent="0.2">
      <c r="A13" s="159"/>
      <c r="B13" s="45">
        <f>A12</f>
        <v>4</v>
      </c>
      <c r="C13" s="67" t="s">
        <v>51</v>
      </c>
      <c r="D13" s="47" t="s">
        <v>49</v>
      </c>
      <c r="E13" s="48">
        <v>144</v>
      </c>
      <c r="F13" s="49">
        <v>77</v>
      </c>
      <c r="G13" s="50">
        <v>1</v>
      </c>
      <c r="H13" s="51">
        <f t="shared" si="0"/>
        <v>221</v>
      </c>
      <c r="I13" s="48">
        <v>134</v>
      </c>
      <c r="J13" s="49">
        <v>44</v>
      </c>
      <c r="K13" s="50">
        <v>5</v>
      </c>
      <c r="L13" s="51">
        <f t="shared" si="1"/>
        <v>178</v>
      </c>
      <c r="M13" s="52">
        <f t="shared" si="2"/>
        <v>278</v>
      </c>
      <c r="N13" s="53">
        <f t="shared" si="3"/>
        <v>121</v>
      </c>
      <c r="O13" s="53">
        <f t="shared" si="4"/>
        <v>6</v>
      </c>
      <c r="P13" s="54">
        <f t="shared" si="5"/>
        <v>399</v>
      </c>
      <c r="Q13" s="55">
        <f>Q12</f>
        <v>798</v>
      </c>
      <c r="R13" s="159"/>
      <c r="S13" s="165"/>
      <c r="T13" s="165"/>
      <c r="U13" s="43">
        <f t="shared" ref="U13:V13" si="13">U12</f>
        <v>259</v>
      </c>
      <c r="V13" s="43">
        <f t="shared" si="13"/>
        <v>14</v>
      </c>
      <c r="W13" s="163"/>
      <c r="X13" s="43" t="s">
        <v>45</v>
      </c>
      <c r="Y13" s="163"/>
      <c r="Z13" s="43" t="str">
        <f>Z12</f>
        <v>R</v>
      </c>
      <c r="AA13" s="163"/>
      <c r="AB13" s="44" t="str">
        <f>AB12</f>
        <v>S</v>
      </c>
      <c r="AC13" s="168"/>
      <c r="AD13" s="168"/>
    </row>
    <row r="14" spans="1:30" ht="15.75" customHeight="1" x14ac:dyDescent="0.2">
      <c r="A14" s="158">
        <v>5</v>
      </c>
      <c r="B14" s="31">
        <f>A14</f>
        <v>5</v>
      </c>
      <c r="C14" s="68" t="s">
        <v>52</v>
      </c>
      <c r="D14" s="33" t="s">
        <v>49</v>
      </c>
      <c r="E14" s="34">
        <v>149</v>
      </c>
      <c r="F14" s="35">
        <v>52</v>
      </c>
      <c r="G14" s="36">
        <v>4</v>
      </c>
      <c r="H14" s="37">
        <f t="shared" si="0"/>
        <v>201</v>
      </c>
      <c r="I14" s="34">
        <v>144</v>
      </c>
      <c r="J14" s="35">
        <v>50</v>
      </c>
      <c r="K14" s="36">
        <v>5</v>
      </c>
      <c r="L14" s="37">
        <f t="shared" si="1"/>
        <v>194</v>
      </c>
      <c r="M14" s="38">
        <f t="shared" si="2"/>
        <v>293</v>
      </c>
      <c r="N14" s="39">
        <f t="shared" si="3"/>
        <v>102</v>
      </c>
      <c r="O14" s="64">
        <f t="shared" si="4"/>
        <v>9</v>
      </c>
      <c r="P14" s="65">
        <f t="shared" si="5"/>
        <v>395</v>
      </c>
      <c r="Q14" s="42">
        <f>IF(P14="","",SUM(P14+P15))</f>
        <v>800</v>
      </c>
      <c r="R14" s="166">
        <f>Q14</f>
        <v>800</v>
      </c>
      <c r="S14" s="164">
        <f>F14+J14+F15+J15</f>
        <v>234</v>
      </c>
      <c r="T14" s="164">
        <f>IF(O14="","",SUM(O14+O15))</f>
        <v>16</v>
      </c>
      <c r="U14" s="43">
        <f t="shared" ref="U14:V14" si="14">S14</f>
        <v>234</v>
      </c>
      <c r="V14" s="43">
        <f t="shared" si="14"/>
        <v>16</v>
      </c>
      <c r="W14" s="162" t="s">
        <v>45</v>
      </c>
      <c r="X14" s="43" t="s">
        <v>45</v>
      </c>
      <c r="Y14" s="162" t="s">
        <v>50</v>
      </c>
      <c r="Z14" s="43" t="str">
        <f>Y14</f>
        <v>R</v>
      </c>
      <c r="AA14" s="162" t="s">
        <v>39</v>
      </c>
      <c r="AB14" s="44" t="str">
        <f>IF(AA14="M", "M", IF(AA14="Ž", "Ž", IF(AA14="S", "S", "")))</f>
        <v>M</v>
      </c>
      <c r="AC14" s="168"/>
      <c r="AD14" s="168"/>
    </row>
    <row r="15" spans="1:30" ht="15.75" customHeight="1" x14ac:dyDescent="0.2">
      <c r="A15" s="159"/>
      <c r="B15" s="45">
        <f>A14</f>
        <v>5</v>
      </c>
      <c r="C15" s="67" t="s">
        <v>53</v>
      </c>
      <c r="D15" s="47" t="s">
        <v>49</v>
      </c>
      <c r="E15" s="48">
        <v>127</v>
      </c>
      <c r="F15" s="49">
        <v>70</v>
      </c>
      <c r="G15" s="50">
        <v>2</v>
      </c>
      <c r="H15" s="51">
        <f t="shared" si="0"/>
        <v>197</v>
      </c>
      <c r="I15" s="48">
        <v>146</v>
      </c>
      <c r="J15" s="49">
        <v>62</v>
      </c>
      <c r="K15" s="50">
        <v>5</v>
      </c>
      <c r="L15" s="51">
        <f t="shared" si="1"/>
        <v>208</v>
      </c>
      <c r="M15" s="52">
        <f t="shared" si="2"/>
        <v>273</v>
      </c>
      <c r="N15" s="53">
        <f t="shared" si="3"/>
        <v>132</v>
      </c>
      <c r="O15" s="53">
        <f t="shared" si="4"/>
        <v>7</v>
      </c>
      <c r="P15" s="54">
        <f t="shared" si="5"/>
        <v>405</v>
      </c>
      <c r="Q15" s="55">
        <f>Q14</f>
        <v>800</v>
      </c>
      <c r="R15" s="159"/>
      <c r="S15" s="165"/>
      <c r="T15" s="165"/>
      <c r="U15" s="43">
        <f t="shared" ref="U15:V15" si="15">U14</f>
        <v>234</v>
      </c>
      <c r="V15" s="43">
        <f t="shared" si="15"/>
        <v>16</v>
      </c>
      <c r="W15" s="163"/>
      <c r="X15" s="43" t="s">
        <v>45</v>
      </c>
      <c r="Y15" s="163"/>
      <c r="Z15" s="43" t="str">
        <f>Z14</f>
        <v>R</v>
      </c>
      <c r="AA15" s="163"/>
      <c r="AB15" s="44" t="str">
        <f>AB14</f>
        <v>M</v>
      </c>
      <c r="AC15" s="168"/>
      <c r="AD15" s="168"/>
    </row>
    <row r="16" spans="1:30" ht="15.75" customHeight="1" x14ac:dyDescent="0.2">
      <c r="A16" s="158">
        <v>6</v>
      </c>
      <c r="B16" s="31">
        <f>A16</f>
        <v>6</v>
      </c>
      <c r="C16" s="68" t="s">
        <v>54</v>
      </c>
      <c r="D16" s="69" t="s">
        <v>55</v>
      </c>
      <c r="E16" s="34">
        <v>145</v>
      </c>
      <c r="F16" s="35">
        <v>89</v>
      </c>
      <c r="G16" s="36">
        <v>2</v>
      </c>
      <c r="H16" s="37">
        <f t="shared" si="0"/>
        <v>234</v>
      </c>
      <c r="I16" s="34">
        <v>153</v>
      </c>
      <c r="J16" s="35">
        <v>86</v>
      </c>
      <c r="K16" s="36">
        <v>2</v>
      </c>
      <c r="L16" s="37">
        <f t="shared" si="1"/>
        <v>239</v>
      </c>
      <c r="M16" s="38">
        <f t="shared" si="2"/>
        <v>298</v>
      </c>
      <c r="N16" s="39">
        <f t="shared" si="3"/>
        <v>175</v>
      </c>
      <c r="O16" s="64">
        <f t="shared" si="4"/>
        <v>4</v>
      </c>
      <c r="P16" s="65">
        <f t="shared" si="5"/>
        <v>473</v>
      </c>
      <c r="Q16" s="42">
        <f>IF(P16="","",SUM(P16+P17))</f>
        <v>940</v>
      </c>
      <c r="R16" s="166">
        <f>Q16</f>
        <v>940</v>
      </c>
      <c r="S16" s="164">
        <f>F16+J16+F17+J17</f>
        <v>325</v>
      </c>
      <c r="T16" s="164">
        <f>IF(O16="","",SUM(O16+O17))</f>
        <v>5</v>
      </c>
      <c r="U16" s="43">
        <f t="shared" ref="U16:V16" si="16">S16</f>
        <v>325</v>
      </c>
      <c r="V16" s="43">
        <f t="shared" si="16"/>
        <v>5</v>
      </c>
      <c r="W16" s="162" t="s">
        <v>45</v>
      </c>
      <c r="X16" s="43" t="s">
        <v>45</v>
      </c>
      <c r="Y16" s="162" t="s">
        <v>50</v>
      </c>
      <c r="Z16" s="43" t="str">
        <f>Y16</f>
        <v>R</v>
      </c>
      <c r="AA16" s="162" t="s">
        <v>39</v>
      </c>
      <c r="AB16" s="44" t="str">
        <f>IF(AA16="M", "M", IF(AA16="Ž", "Ž", IF(AA16="S", "S", "")))</f>
        <v>M</v>
      </c>
      <c r="AC16" s="168"/>
      <c r="AD16" s="168"/>
    </row>
    <row r="17" spans="1:30" ht="15.75" customHeight="1" x14ac:dyDescent="0.2">
      <c r="A17" s="159"/>
      <c r="B17" s="45">
        <f>A16</f>
        <v>6</v>
      </c>
      <c r="C17" s="67" t="s">
        <v>56</v>
      </c>
      <c r="D17" s="70" t="s">
        <v>55</v>
      </c>
      <c r="E17" s="48">
        <v>153</v>
      </c>
      <c r="F17" s="49">
        <v>79</v>
      </c>
      <c r="G17" s="50">
        <v>1</v>
      </c>
      <c r="H17" s="51">
        <f t="shared" si="0"/>
        <v>232</v>
      </c>
      <c r="I17" s="48">
        <v>164</v>
      </c>
      <c r="J17" s="49">
        <v>71</v>
      </c>
      <c r="K17" s="50">
        <v>0</v>
      </c>
      <c r="L17" s="51">
        <f t="shared" si="1"/>
        <v>235</v>
      </c>
      <c r="M17" s="52">
        <f t="shared" si="2"/>
        <v>317</v>
      </c>
      <c r="N17" s="53">
        <f t="shared" si="3"/>
        <v>150</v>
      </c>
      <c r="O17" s="53">
        <f t="shared" si="4"/>
        <v>1</v>
      </c>
      <c r="P17" s="54">
        <f t="shared" si="5"/>
        <v>467</v>
      </c>
      <c r="Q17" s="55">
        <f>Q16</f>
        <v>940</v>
      </c>
      <c r="R17" s="159"/>
      <c r="S17" s="165"/>
      <c r="T17" s="165"/>
      <c r="U17" s="43">
        <f t="shared" ref="U17:V17" si="17">U16</f>
        <v>325</v>
      </c>
      <c r="V17" s="43">
        <f t="shared" si="17"/>
        <v>5</v>
      </c>
      <c r="W17" s="163"/>
      <c r="X17" s="43" t="s">
        <v>45</v>
      </c>
      <c r="Y17" s="163"/>
      <c r="Z17" s="43" t="str">
        <f>Z16</f>
        <v>R</v>
      </c>
      <c r="AA17" s="163"/>
      <c r="AB17" s="44" t="str">
        <f>AB16</f>
        <v>M</v>
      </c>
      <c r="AC17" s="168"/>
      <c r="AD17" s="168"/>
    </row>
    <row r="18" spans="1:30" ht="15.75" customHeight="1" x14ac:dyDescent="0.2">
      <c r="A18" s="158">
        <v>7</v>
      </c>
      <c r="B18" s="31">
        <f>A18</f>
        <v>7</v>
      </c>
      <c r="C18" s="68" t="s">
        <v>57</v>
      </c>
      <c r="D18" s="69" t="s">
        <v>55</v>
      </c>
      <c r="E18" s="34">
        <v>144</v>
      </c>
      <c r="F18" s="35">
        <v>44</v>
      </c>
      <c r="G18" s="36">
        <v>4</v>
      </c>
      <c r="H18" s="37">
        <f t="shared" si="0"/>
        <v>188</v>
      </c>
      <c r="I18" s="34">
        <v>150</v>
      </c>
      <c r="J18" s="35">
        <v>52</v>
      </c>
      <c r="K18" s="36">
        <v>6</v>
      </c>
      <c r="L18" s="37">
        <f t="shared" si="1"/>
        <v>202</v>
      </c>
      <c r="M18" s="38">
        <f t="shared" si="2"/>
        <v>294</v>
      </c>
      <c r="N18" s="39">
        <f t="shared" si="3"/>
        <v>96</v>
      </c>
      <c r="O18" s="64">
        <f t="shared" si="4"/>
        <v>10</v>
      </c>
      <c r="P18" s="65">
        <f t="shared" si="5"/>
        <v>390</v>
      </c>
      <c r="Q18" s="42">
        <f>IF(P18="","",SUM(P18+P19))</f>
        <v>794</v>
      </c>
      <c r="R18" s="166">
        <f>Q18</f>
        <v>794</v>
      </c>
      <c r="S18" s="164">
        <f>F18+J18+F19+J19</f>
        <v>209</v>
      </c>
      <c r="T18" s="164">
        <f>IF(O18="","",SUM(O18+O19))</f>
        <v>19</v>
      </c>
      <c r="U18" s="43">
        <f t="shared" ref="U18:V18" si="18">S18</f>
        <v>209</v>
      </c>
      <c r="V18" s="43">
        <f t="shared" si="18"/>
        <v>19</v>
      </c>
      <c r="W18" s="162" t="s">
        <v>45</v>
      </c>
      <c r="X18" s="43" t="s">
        <v>45</v>
      </c>
      <c r="Y18" s="162" t="s">
        <v>50</v>
      </c>
      <c r="Z18" s="43" t="str">
        <f>Y18</f>
        <v>R</v>
      </c>
      <c r="AA18" s="162" t="s">
        <v>39</v>
      </c>
      <c r="AB18" s="44" t="str">
        <f>IF(AA18="M", "M", IF(AA18="Ž", "Ž", IF(AA18="S", "S", "")))</f>
        <v>M</v>
      </c>
      <c r="AC18" s="168"/>
      <c r="AD18" s="168"/>
    </row>
    <row r="19" spans="1:30" ht="15.75" customHeight="1" x14ac:dyDescent="0.2">
      <c r="A19" s="159"/>
      <c r="B19" s="45">
        <f>A18</f>
        <v>7</v>
      </c>
      <c r="C19" s="67" t="s">
        <v>58</v>
      </c>
      <c r="D19" s="47" t="s">
        <v>55</v>
      </c>
      <c r="E19" s="48">
        <v>144</v>
      </c>
      <c r="F19" s="49">
        <v>52</v>
      </c>
      <c r="G19" s="50">
        <v>6</v>
      </c>
      <c r="H19" s="51">
        <f t="shared" si="0"/>
        <v>196</v>
      </c>
      <c r="I19" s="48">
        <v>147</v>
      </c>
      <c r="J19" s="49">
        <v>61</v>
      </c>
      <c r="K19" s="50">
        <v>3</v>
      </c>
      <c r="L19" s="51">
        <f t="shared" si="1"/>
        <v>208</v>
      </c>
      <c r="M19" s="52">
        <f t="shared" si="2"/>
        <v>291</v>
      </c>
      <c r="N19" s="53">
        <f t="shared" si="3"/>
        <v>113</v>
      </c>
      <c r="O19" s="53">
        <f t="shared" si="4"/>
        <v>9</v>
      </c>
      <c r="P19" s="54">
        <f t="shared" si="5"/>
        <v>404</v>
      </c>
      <c r="Q19" s="55">
        <f>Q18</f>
        <v>794</v>
      </c>
      <c r="R19" s="159"/>
      <c r="S19" s="165"/>
      <c r="T19" s="165"/>
      <c r="U19" s="43">
        <f t="shared" ref="U19:V19" si="19">U18</f>
        <v>209</v>
      </c>
      <c r="V19" s="43">
        <f t="shared" si="19"/>
        <v>19</v>
      </c>
      <c r="W19" s="163"/>
      <c r="X19" s="43" t="s">
        <v>45</v>
      </c>
      <c r="Y19" s="163"/>
      <c r="Z19" s="43" t="str">
        <f>Z18</f>
        <v>R</v>
      </c>
      <c r="AA19" s="163"/>
      <c r="AB19" s="44" t="str">
        <f>AB18</f>
        <v>M</v>
      </c>
      <c r="AC19" s="168"/>
      <c r="AD19" s="168"/>
    </row>
    <row r="20" spans="1:30" ht="15.75" customHeight="1" x14ac:dyDescent="0.2">
      <c r="A20" s="158">
        <v>8</v>
      </c>
      <c r="B20" s="31">
        <f>A20</f>
        <v>8</v>
      </c>
      <c r="C20" s="68" t="s">
        <v>59</v>
      </c>
      <c r="D20" s="69" t="s">
        <v>60</v>
      </c>
      <c r="E20" s="34">
        <v>150</v>
      </c>
      <c r="F20" s="35">
        <v>69</v>
      </c>
      <c r="G20" s="36">
        <v>1</v>
      </c>
      <c r="H20" s="37">
        <f t="shared" si="0"/>
        <v>219</v>
      </c>
      <c r="I20" s="34">
        <v>150</v>
      </c>
      <c r="J20" s="35">
        <v>78</v>
      </c>
      <c r="K20" s="36">
        <v>1</v>
      </c>
      <c r="L20" s="37">
        <f t="shared" si="1"/>
        <v>228</v>
      </c>
      <c r="M20" s="38">
        <f t="shared" si="2"/>
        <v>300</v>
      </c>
      <c r="N20" s="39">
        <f t="shared" si="3"/>
        <v>147</v>
      </c>
      <c r="O20" s="64">
        <f t="shared" si="4"/>
        <v>2</v>
      </c>
      <c r="P20" s="65">
        <f t="shared" si="5"/>
        <v>447</v>
      </c>
      <c r="Q20" s="42">
        <f>IF(P20="","",SUM(P20+P21))</f>
        <v>895</v>
      </c>
      <c r="R20" s="166">
        <f>Q20</f>
        <v>895</v>
      </c>
      <c r="S20" s="164">
        <f>F20+J20+F21+J21</f>
        <v>290</v>
      </c>
      <c r="T20" s="164">
        <f>IF(O20="","",SUM(O20+O21))</f>
        <v>4</v>
      </c>
      <c r="U20" s="43">
        <f t="shared" ref="U20:V20" si="20">S20</f>
        <v>290</v>
      </c>
      <c r="V20" s="43">
        <f t="shared" si="20"/>
        <v>4</v>
      </c>
      <c r="W20" s="162" t="s">
        <v>37</v>
      </c>
      <c r="X20" s="43" t="s">
        <v>37</v>
      </c>
      <c r="Y20" s="162" t="s">
        <v>50</v>
      </c>
      <c r="Z20" s="43" t="str">
        <f>Y20</f>
        <v>R</v>
      </c>
      <c r="AA20" s="162" t="s">
        <v>39</v>
      </c>
      <c r="AB20" s="44" t="str">
        <f>IF(AA20="M", "M", IF(AA20="Ž", "Ž", IF(AA20="S", "S", "")))</f>
        <v>M</v>
      </c>
      <c r="AC20" s="168"/>
      <c r="AD20" s="168"/>
    </row>
    <row r="21" spans="1:30" ht="15.75" customHeight="1" x14ac:dyDescent="0.2">
      <c r="A21" s="159"/>
      <c r="B21" s="45">
        <f>A20</f>
        <v>8</v>
      </c>
      <c r="C21" s="67" t="s">
        <v>61</v>
      </c>
      <c r="D21" s="70" t="s">
        <v>60</v>
      </c>
      <c r="E21" s="48">
        <v>150</v>
      </c>
      <c r="F21" s="49">
        <v>81</v>
      </c>
      <c r="G21" s="50">
        <v>1</v>
      </c>
      <c r="H21" s="51">
        <f t="shared" si="0"/>
        <v>231</v>
      </c>
      <c r="I21" s="48">
        <v>155</v>
      </c>
      <c r="J21" s="49">
        <v>62</v>
      </c>
      <c r="K21" s="50">
        <v>1</v>
      </c>
      <c r="L21" s="51">
        <f t="shared" si="1"/>
        <v>217</v>
      </c>
      <c r="M21" s="52">
        <f t="shared" si="2"/>
        <v>305</v>
      </c>
      <c r="N21" s="53">
        <f t="shared" si="3"/>
        <v>143</v>
      </c>
      <c r="O21" s="53">
        <f t="shared" si="4"/>
        <v>2</v>
      </c>
      <c r="P21" s="54">
        <f t="shared" si="5"/>
        <v>448</v>
      </c>
      <c r="Q21" s="55">
        <f>Q20</f>
        <v>895</v>
      </c>
      <c r="R21" s="159"/>
      <c r="S21" s="165"/>
      <c r="T21" s="165"/>
      <c r="U21" s="43">
        <f t="shared" ref="U21:V21" si="21">U20</f>
        <v>290</v>
      </c>
      <c r="V21" s="43">
        <f t="shared" si="21"/>
        <v>4</v>
      </c>
      <c r="W21" s="163"/>
      <c r="X21" s="43" t="s">
        <v>37</v>
      </c>
      <c r="Y21" s="163"/>
      <c r="Z21" s="43" t="str">
        <f>Z20</f>
        <v>R</v>
      </c>
      <c r="AA21" s="163"/>
      <c r="AB21" s="44" t="str">
        <f>AB20</f>
        <v>M</v>
      </c>
      <c r="AC21" s="168"/>
      <c r="AD21" s="168"/>
    </row>
    <row r="22" spans="1:30" ht="15.75" customHeight="1" x14ac:dyDescent="0.2">
      <c r="A22" s="158">
        <v>9</v>
      </c>
      <c r="B22" s="31">
        <f>A22</f>
        <v>9</v>
      </c>
      <c r="C22" s="68" t="s">
        <v>62</v>
      </c>
      <c r="D22" s="33" t="s">
        <v>60</v>
      </c>
      <c r="E22" s="34">
        <v>146</v>
      </c>
      <c r="F22" s="35">
        <v>44</v>
      </c>
      <c r="G22" s="36">
        <v>6</v>
      </c>
      <c r="H22" s="37">
        <f t="shared" si="0"/>
        <v>190</v>
      </c>
      <c r="I22" s="34">
        <v>147</v>
      </c>
      <c r="J22" s="35">
        <v>61</v>
      </c>
      <c r="K22" s="36">
        <v>3</v>
      </c>
      <c r="L22" s="37">
        <f t="shared" si="1"/>
        <v>208</v>
      </c>
      <c r="M22" s="38">
        <f t="shared" si="2"/>
        <v>293</v>
      </c>
      <c r="N22" s="39">
        <f t="shared" si="3"/>
        <v>105</v>
      </c>
      <c r="O22" s="64">
        <f t="shared" si="4"/>
        <v>9</v>
      </c>
      <c r="P22" s="65">
        <f t="shared" si="5"/>
        <v>398</v>
      </c>
      <c r="Q22" s="42">
        <f>IF(P22="","",SUM(P22+P23))</f>
        <v>787</v>
      </c>
      <c r="R22" s="166">
        <f>Q22</f>
        <v>787</v>
      </c>
      <c r="S22" s="164">
        <f>F22+J22+F23+J23</f>
        <v>221</v>
      </c>
      <c r="T22" s="164">
        <f>IF(O22="","",SUM(O22+O23))</f>
        <v>24</v>
      </c>
      <c r="U22" s="43">
        <f t="shared" ref="U22:V22" si="22">S22</f>
        <v>221</v>
      </c>
      <c r="V22" s="43">
        <f t="shared" si="22"/>
        <v>24</v>
      </c>
      <c r="W22" s="162" t="s">
        <v>37</v>
      </c>
      <c r="X22" s="43" t="s">
        <v>37</v>
      </c>
      <c r="Y22" s="162" t="s">
        <v>50</v>
      </c>
      <c r="Z22" s="43" t="str">
        <f>Y22</f>
        <v>R</v>
      </c>
      <c r="AA22" s="162" t="s">
        <v>39</v>
      </c>
      <c r="AB22" s="44" t="str">
        <f>IF(AA22="M", "M", IF(AA22="Ž", "Ž", IF(AA22="S", "S", "")))</f>
        <v>M</v>
      </c>
      <c r="AC22" s="168"/>
      <c r="AD22" s="168"/>
    </row>
    <row r="23" spans="1:30" ht="15.75" customHeight="1" x14ac:dyDescent="0.2">
      <c r="A23" s="159"/>
      <c r="B23" s="45">
        <f>A22</f>
        <v>9</v>
      </c>
      <c r="C23" s="67" t="s">
        <v>63</v>
      </c>
      <c r="D23" s="47" t="s">
        <v>60</v>
      </c>
      <c r="E23" s="48">
        <v>144</v>
      </c>
      <c r="F23" s="49">
        <v>35</v>
      </c>
      <c r="G23" s="50">
        <v>11</v>
      </c>
      <c r="H23" s="51">
        <f t="shared" si="0"/>
        <v>179</v>
      </c>
      <c r="I23" s="48">
        <v>129</v>
      </c>
      <c r="J23" s="49">
        <v>81</v>
      </c>
      <c r="K23" s="50">
        <v>4</v>
      </c>
      <c r="L23" s="51">
        <f t="shared" si="1"/>
        <v>210</v>
      </c>
      <c r="M23" s="52">
        <f t="shared" si="2"/>
        <v>273</v>
      </c>
      <c r="N23" s="53">
        <f t="shared" si="3"/>
        <v>116</v>
      </c>
      <c r="O23" s="53">
        <f t="shared" si="4"/>
        <v>15</v>
      </c>
      <c r="P23" s="54">
        <f t="shared" si="5"/>
        <v>389</v>
      </c>
      <c r="Q23" s="55">
        <f>Q22</f>
        <v>787</v>
      </c>
      <c r="R23" s="159"/>
      <c r="S23" s="165"/>
      <c r="T23" s="165"/>
      <c r="U23" s="43">
        <f t="shared" ref="U23:V23" si="23">U22</f>
        <v>221</v>
      </c>
      <c r="V23" s="43">
        <f t="shared" si="23"/>
        <v>24</v>
      </c>
      <c r="W23" s="163"/>
      <c r="X23" s="43" t="s">
        <v>37</v>
      </c>
      <c r="Y23" s="163"/>
      <c r="Z23" s="43" t="str">
        <f>Z22</f>
        <v>R</v>
      </c>
      <c r="AA23" s="163"/>
      <c r="AB23" s="44" t="str">
        <f>AB22</f>
        <v>M</v>
      </c>
      <c r="AC23" s="168"/>
      <c r="AD23" s="168"/>
    </row>
    <row r="24" spans="1:30" ht="15.75" customHeight="1" x14ac:dyDescent="0.2">
      <c r="A24" s="158">
        <v>10</v>
      </c>
      <c r="B24" s="31">
        <f>A24</f>
        <v>10</v>
      </c>
      <c r="C24" s="68" t="s">
        <v>64</v>
      </c>
      <c r="D24" s="33" t="s">
        <v>60</v>
      </c>
      <c r="E24" s="34">
        <v>130</v>
      </c>
      <c r="F24" s="35">
        <v>44</v>
      </c>
      <c r="G24" s="36">
        <v>5</v>
      </c>
      <c r="H24" s="37">
        <f t="shared" si="0"/>
        <v>174</v>
      </c>
      <c r="I24" s="34">
        <v>142</v>
      </c>
      <c r="J24" s="35">
        <v>54</v>
      </c>
      <c r="K24" s="36">
        <v>6</v>
      </c>
      <c r="L24" s="37">
        <f t="shared" si="1"/>
        <v>196</v>
      </c>
      <c r="M24" s="38">
        <f t="shared" si="2"/>
        <v>272</v>
      </c>
      <c r="N24" s="39">
        <f t="shared" si="3"/>
        <v>98</v>
      </c>
      <c r="O24" s="64">
        <f t="shared" si="4"/>
        <v>11</v>
      </c>
      <c r="P24" s="65">
        <f t="shared" si="5"/>
        <v>370</v>
      </c>
      <c r="Q24" s="42">
        <f>IF(P24="","",SUM(P24+P25))</f>
        <v>786</v>
      </c>
      <c r="R24" s="166">
        <f>Q24</f>
        <v>786</v>
      </c>
      <c r="S24" s="164">
        <f>F24+J24+F25+J25</f>
        <v>225</v>
      </c>
      <c r="T24" s="164">
        <f>IF(O24="","",SUM(O24+O25))</f>
        <v>13</v>
      </c>
      <c r="U24" s="43">
        <f t="shared" ref="U24:V24" si="24">S24</f>
        <v>225</v>
      </c>
      <c r="V24" s="43">
        <f t="shared" si="24"/>
        <v>13</v>
      </c>
      <c r="W24" s="162" t="s">
        <v>37</v>
      </c>
      <c r="X24" s="43" t="s">
        <v>37</v>
      </c>
      <c r="Y24" s="162" t="s">
        <v>50</v>
      </c>
      <c r="Z24" s="43" t="str">
        <f>Y24</f>
        <v>R</v>
      </c>
      <c r="AA24" s="162" t="s">
        <v>39</v>
      </c>
      <c r="AB24" s="44" t="str">
        <f>IF(AA24="M", "M", IF(AA24="Ž", "Ž", IF(AA24="S", "S", "")))</f>
        <v>M</v>
      </c>
      <c r="AC24" s="168"/>
      <c r="AD24" s="168"/>
    </row>
    <row r="25" spans="1:30" ht="15.75" customHeight="1" x14ac:dyDescent="0.2">
      <c r="A25" s="159"/>
      <c r="B25" s="45">
        <f>A24</f>
        <v>10</v>
      </c>
      <c r="C25" s="67" t="s">
        <v>65</v>
      </c>
      <c r="D25" s="47" t="s">
        <v>60</v>
      </c>
      <c r="E25" s="48">
        <v>145</v>
      </c>
      <c r="F25" s="49">
        <v>68</v>
      </c>
      <c r="G25" s="50">
        <v>1</v>
      </c>
      <c r="H25" s="51">
        <f t="shared" si="0"/>
        <v>213</v>
      </c>
      <c r="I25" s="48">
        <v>144</v>
      </c>
      <c r="J25" s="49">
        <v>59</v>
      </c>
      <c r="K25" s="50">
        <v>1</v>
      </c>
      <c r="L25" s="51">
        <f t="shared" si="1"/>
        <v>203</v>
      </c>
      <c r="M25" s="52">
        <f t="shared" si="2"/>
        <v>289</v>
      </c>
      <c r="N25" s="53">
        <f t="shared" si="3"/>
        <v>127</v>
      </c>
      <c r="O25" s="53">
        <f t="shared" si="4"/>
        <v>2</v>
      </c>
      <c r="P25" s="54">
        <f t="shared" si="5"/>
        <v>416</v>
      </c>
      <c r="Q25" s="55">
        <f>Q24</f>
        <v>786</v>
      </c>
      <c r="R25" s="159"/>
      <c r="S25" s="165"/>
      <c r="T25" s="165"/>
      <c r="U25" s="43">
        <f t="shared" ref="U25:V25" si="25">U24</f>
        <v>225</v>
      </c>
      <c r="V25" s="43">
        <f t="shared" si="25"/>
        <v>13</v>
      </c>
      <c r="W25" s="163"/>
      <c r="X25" s="43" t="s">
        <v>37</v>
      </c>
      <c r="Y25" s="163"/>
      <c r="Z25" s="43" t="str">
        <f>Z24</f>
        <v>R</v>
      </c>
      <c r="AA25" s="163"/>
      <c r="AB25" s="44" t="str">
        <f>AB24</f>
        <v>M</v>
      </c>
      <c r="AC25" s="168"/>
      <c r="AD25" s="168"/>
    </row>
    <row r="26" spans="1:30" ht="15.75" customHeight="1" x14ac:dyDescent="0.2">
      <c r="A26" s="158">
        <v>11</v>
      </c>
      <c r="B26" s="31">
        <f>A26</f>
        <v>11</v>
      </c>
      <c r="C26" s="68" t="s">
        <v>66</v>
      </c>
      <c r="D26" s="33" t="s">
        <v>49</v>
      </c>
      <c r="E26" s="34">
        <v>122</v>
      </c>
      <c r="F26" s="35">
        <v>43</v>
      </c>
      <c r="G26" s="36">
        <v>8</v>
      </c>
      <c r="H26" s="37">
        <f t="shared" si="0"/>
        <v>165</v>
      </c>
      <c r="I26" s="34">
        <v>116</v>
      </c>
      <c r="J26" s="35">
        <v>44</v>
      </c>
      <c r="K26" s="36">
        <v>8</v>
      </c>
      <c r="L26" s="37">
        <f t="shared" si="1"/>
        <v>160</v>
      </c>
      <c r="M26" s="38">
        <f t="shared" si="2"/>
        <v>238</v>
      </c>
      <c r="N26" s="39">
        <f t="shared" si="3"/>
        <v>87</v>
      </c>
      <c r="O26" s="64">
        <f t="shared" si="4"/>
        <v>16</v>
      </c>
      <c r="P26" s="65">
        <f t="shared" si="5"/>
        <v>325</v>
      </c>
      <c r="Q26" s="42">
        <f>IF(P26="","",SUM(P26+P27))</f>
        <v>708</v>
      </c>
      <c r="R26" s="166">
        <f>Q26</f>
        <v>708</v>
      </c>
      <c r="S26" s="164">
        <f>F26+J26+F27+J27</f>
        <v>180</v>
      </c>
      <c r="T26" s="164">
        <f>IF(O26="","",SUM(O26+O27))</f>
        <v>31</v>
      </c>
      <c r="U26" s="43">
        <f t="shared" ref="U26:V26" si="26">S26</f>
        <v>180</v>
      </c>
      <c r="V26" s="43">
        <f t="shared" si="26"/>
        <v>31</v>
      </c>
      <c r="W26" s="162" t="s">
        <v>45</v>
      </c>
      <c r="X26" s="43" t="s">
        <v>45</v>
      </c>
      <c r="Y26" s="162" t="s">
        <v>50</v>
      </c>
      <c r="Z26" s="43" t="str">
        <f>Y26</f>
        <v>R</v>
      </c>
      <c r="AA26" s="162" t="s">
        <v>39</v>
      </c>
      <c r="AB26" s="44" t="str">
        <f>IF(AA26="M", "M", IF(AA26="Ž", "Ž", IF(AA26="S", "S", "")))</f>
        <v>M</v>
      </c>
      <c r="AC26" s="168"/>
      <c r="AD26" s="168"/>
    </row>
    <row r="27" spans="1:30" ht="15.75" customHeight="1" x14ac:dyDescent="0.2">
      <c r="A27" s="159"/>
      <c r="B27" s="45">
        <f>A26</f>
        <v>11</v>
      </c>
      <c r="C27" s="67" t="s">
        <v>67</v>
      </c>
      <c r="D27" s="47" t="s">
        <v>49</v>
      </c>
      <c r="E27" s="48">
        <v>145</v>
      </c>
      <c r="F27" s="49">
        <v>48</v>
      </c>
      <c r="G27" s="50">
        <v>7</v>
      </c>
      <c r="H27" s="51">
        <f t="shared" si="0"/>
        <v>193</v>
      </c>
      <c r="I27" s="48">
        <v>145</v>
      </c>
      <c r="J27" s="49">
        <v>45</v>
      </c>
      <c r="K27" s="50">
        <v>8</v>
      </c>
      <c r="L27" s="51">
        <f t="shared" si="1"/>
        <v>190</v>
      </c>
      <c r="M27" s="52">
        <f t="shared" si="2"/>
        <v>290</v>
      </c>
      <c r="N27" s="53">
        <f t="shared" si="3"/>
        <v>93</v>
      </c>
      <c r="O27" s="53">
        <f t="shared" si="4"/>
        <v>15</v>
      </c>
      <c r="P27" s="54">
        <f t="shared" si="5"/>
        <v>383</v>
      </c>
      <c r="Q27" s="55">
        <f>Q26</f>
        <v>708</v>
      </c>
      <c r="R27" s="159"/>
      <c r="S27" s="165"/>
      <c r="T27" s="165"/>
      <c r="U27" s="43">
        <f t="shared" ref="U27:V27" si="27">U26</f>
        <v>180</v>
      </c>
      <c r="V27" s="43">
        <f t="shared" si="27"/>
        <v>31</v>
      </c>
      <c r="W27" s="163"/>
      <c r="X27" s="43" t="s">
        <v>45</v>
      </c>
      <c r="Y27" s="163"/>
      <c r="Z27" s="43" t="str">
        <f>Z26</f>
        <v>R</v>
      </c>
      <c r="AA27" s="163"/>
      <c r="AB27" s="44" t="str">
        <f>AB26</f>
        <v>M</v>
      </c>
      <c r="AC27" s="168"/>
      <c r="AD27" s="168"/>
    </row>
    <row r="28" spans="1:30" ht="15.75" customHeight="1" x14ac:dyDescent="0.2">
      <c r="A28" s="158">
        <v>12</v>
      </c>
      <c r="B28" s="31">
        <f>A28</f>
        <v>12</v>
      </c>
      <c r="C28" s="68" t="s">
        <v>68</v>
      </c>
      <c r="D28" s="33" t="s">
        <v>49</v>
      </c>
      <c r="E28" s="34">
        <v>113</v>
      </c>
      <c r="F28" s="35">
        <v>45</v>
      </c>
      <c r="G28" s="36">
        <v>7</v>
      </c>
      <c r="H28" s="37">
        <f t="shared" si="0"/>
        <v>158</v>
      </c>
      <c r="I28" s="34">
        <v>130</v>
      </c>
      <c r="J28" s="35">
        <v>51</v>
      </c>
      <c r="K28" s="36">
        <v>5</v>
      </c>
      <c r="L28" s="37">
        <f t="shared" si="1"/>
        <v>181</v>
      </c>
      <c r="M28" s="38">
        <f t="shared" si="2"/>
        <v>243</v>
      </c>
      <c r="N28" s="39">
        <f t="shared" si="3"/>
        <v>96</v>
      </c>
      <c r="O28" s="64">
        <f t="shared" si="4"/>
        <v>12</v>
      </c>
      <c r="P28" s="71">
        <f t="shared" si="5"/>
        <v>339</v>
      </c>
      <c r="Q28" s="42">
        <f>IF(P28="","",SUM(P28+P29))</f>
        <v>752</v>
      </c>
      <c r="R28" s="166">
        <f>Q28</f>
        <v>752</v>
      </c>
      <c r="S28" s="164">
        <f>F28+J28+F29+J29</f>
        <v>236</v>
      </c>
      <c r="T28" s="164">
        <f>IF(O28="","",SUM(O28+O29))</f>
        <v>15</v>
      </c>
      <c r="U28" s="43">
        <f t="shared" ref="U28:V28" si="28">S28</f>
        <v>236</v>
      </c>
      <c r="V28" s="43">
        <f t="shared" si="28"/>
        <v>15</v>
      </c>
      <c r="W28" s="162" t="s">
        <v>45</v>
      </c>
      <c r="X28" s="43" t="s">
        <v>45</v>
      </c>
      <c r="Y28" s="162" t="s">
        <v>50</v>
      </c>
      <c r="Z28" s="43" t="str">
        <f>Y28</f>
        <v>R</v>
      </c>
      <c r="AA28" s="162" t="s">
        <v>69</v>
      </c>
      <c r="AB28" s="44" t="str">
        <f>IF(AA28="M", "M", IF(AA28="Ž", "Ž", IF(AA28="S", "S", "")))</f>
        <v>Ž</v>
      </c>
      <c r="AC28" s="168"/>
      <c r="AD28" s="168"/>
    </row>
    <row r="29" spans="1:30" ht="15.75" customHeight="1" x14ac:dyDescent="0.2">
      <c r="A29" s="159"/>
      <c r="B29" s="45">
        <f>A28</f>
        <v>12</v>
      </c>
      <c r="C29" s="67" t="s">
        <v>70</v>
      </c>
      <c r="D29" s="47" t="s">
        <v>49</v>
      </c>
      <c r="E29" s="48">
        <v>139</v>
      </c>
      <c r="F29" s="49">
        <v>78</v>
      </c>
      <c r="G29" s="50"/>
      <c r="H29" s="51">
        <f t="shared" si="0"/>
        <v>217</v>
      </c>
      <c r="I29" s="48">
        <v>134</v>
      </c>
      <c r="J29" s="49">
        <v>62</v>
      </c>
      <c r="K29" s="50">
        <v>3</v>
      </c>
      <c r="L29" s="51">
        <f t="shared" si="1"/>
        <v>196</v>
      </c>
      <c r="M29" s="52">
        <f t="shared" si="2"/>
        <v>273</v>
      </c>
      <c r="N29" s="53">
        <f t="shared" si="3"/>
        <v>140</v>
      </c>
      <c r="O29" s="53">
        <f t="shared" si="4"/>
        <v>3</v>
      </c>
      <c r="P29" s="54">
        <f t="shared" si="5"/>
        <v>413</v>
      </c>
      <c r="Q29" s="55">
        <f>Q28</f>
        <v>752</v>
      </c>
      <c r="R29" s="159"/>
      <c r="S29" s="165"/>
      <c r="T29" s="165"/>
      <c r="U29" s="43">
        <f t="shared" ref="U29:V29" si="29">U28</f>
        <v>236</v>
      </c>
      <c r="V29" s="43">
        <f t="shared" si="29"/>
        <v>15</v>
      </c>
      <c r="W29" s="163"/>
      <c r="X29" s="43" t="s">
        <v>45</v>
      </c>
      <c r="Y29" s="163"/>
      <c r="Z29" s="43" t="str">
        <f>Z28</f>
        <v>R</v>
      </c>
      <c r="AA29" s="163"/>
      <c r="AB29" s="44" t="str">
        <f>AB28</f>
        <v>Ž</v>
      </c>
      <c r="AC29" s="168"/>
      <c r="AD29" s="168"/>
    </row>
    <row r="30" spans="1:30" ht="15.75" customHeight="1" x14ac:dyDescent="0.2">
      <c r="A30" s="158">
        <v>13</v>
      </c>
      <c r="B30" s="31">
        <f>A30</f>
        <v>13</v>
      </c>
      <c r="C30" s="68" t="s">
        <v>71</v>
      </c>
      <c r="D30" s="47" t="s">
        <v>49</v>
      </c>
      <c r="E30" s="34">
        <v>139</v>
      </c>
      <c r="F30" s="35">
        <v>62</v>
      </c>
      <c r="G30" s="36">
        <v>1</v>
      </c>
      <c r="H30" s="37">
        <f t="shared" si="0"/>
        <v>201</v>
      </c>
      <c r="I30" s="34">
        <v>146</v>
      </c>
      <c r="J30" s="35">
        <v>68</v>
      </c>
      <c r="K30" s="36">
        <v>3</v>
      </c>
      <c r="L30" s="37">
        <f t="shared" si="1"/>
        <v>214</v>
      </c>
      <c r="M30" s="38">
        <f t="shared" si="2"/>
        <v>285</v>
      </c>
      <c r="N30" s="39">
        <f t="shared" si="3"/>
        <v>130</v>
      </c>
      <c r="O30" s="64">
        <f t="shared" si="4"/>
        <v>4</v>
      </c>
      <c r="P30" s="65">
        <f t="shared" si="5"/>
        <v>415</v>
      </c>
      <c r="Q30" s="42">
        <f>IF(P30="","",SUM(P30+P31))</f>
        <v>798</v>
      </c>
      <c r="R30" s="166">
        <f>Q30</f>
        <v>798</v>
      </c>
      <c r="S30" s="164">
        <f>F30+J30+F31+J31</f>
        <v>232</v>
      </c>
      <c r="T30" s="164">
        <f>IF(O30="","",SUM(O30+O31))</f>
        <v>15</v>
      </c>
      <c r="U30" s="43">
        <f t="shared" ref="U30:V30" si="30">S30</f>
        <v>232</v>
      </c>
      <c r="V30" s="43">
        <f t="shared" si="30"/>
        <v>15</v>
      </c>
      <c r="W30" s="162" t="s">
        <v>45</v>
      </c>
      <c r="X30" s="43" t="s">
        <v>45</v>
      </c>
      <c r="Y30" s="162" t="s">
        <v>50</v>
      </c>
      <c r="Z30" s="43" t="str">
        <f>Y30</f>
        <v>R</v>
      </c>
      <c r="AA30" s="162" t="s">
        <v>39</v>
      </c>
      <c r="AB30" s="44" t="str">
        <f>IF(AA30="M", "M", IF(AA30="Ž", "Ž", IF(AA30="S", "S", "")))</f>
        <v>M</v>
      </c>
      <c r="AC30" s="168"/>
      <c r="AD30" s="168"/>
    </row>
    <row r="31" spans="1:30" ht="15.75" customHeight="1" x14ac:dyDescent="0.2">
      <c r="A31" s="159"/>
      <c r="B31" s="45">
        <f>A30</f>
        <v>13</v>
      </c>
      <c r="C31" s="67" t="s">
        <v>48</v>
      </c>
      <c r="D31" s="47" t="s">
        <v>49</v>
      </c>
      <c r="E31" s="48">
        <v>131</v>
      </c>
      <c r="F31" s="49">
        <v>52</v>
      </c>
      <c r="G31" s="50">
        <v>8</v>
      </c>
      <c r="H31" s="51">
        <f t="shared" si="0"/>
        <v>183</v>
      </c>
      <c r="I31" s="48">
        <v>150</v>
      </c>
      <c r="J31" s="49">
        <v>50</v>
      </c>
      <c r="K31" s="50">
        <v>3</v>
      </c>
      <c r="L31" s="51">
        <f t="shared" si="1"/>
        <v>200</v>
      </c>
      <c r="M31" s="52">
        <f t="shared" si="2"/>
        <v>281</v>
      </c>
      <c r="N31" s="53">
        <f t="shared" si="3"/>
        <v>102</v>
      </c>
      <c r="O31" s="53">
        <f t="shared" si="4"/>
        <v>11</v>
      </c>
      <c r="P31" s="54">
        <f t="shared" si="5"/>
        <v>383</v>
      </c>
      <c r="Q31" s="55">
        <f>Q30</f>
        <v>798</v>
      </c>
      <c r="R31" s="159"/>
      <c r="S31" s="165"/>
      <c r="T31" s="165"/>
      <c r="U31" s="43">
        <f t="shared" ref="U31:V31" si="31">U30</f>
        <v>232</v>
      </c>
      <c r="V31" s="43">
        <f t="shared" si="31"/>
        <v>15</v>
      </c>
      <c r="W31" s="163"/>
      <c r="X31" s="43" t="s">
        <v>45</v>
      </c>
      <c r="Y31" s="163"/>
      <c r="Z31" s="43" t="str">
        <f>Z30</f>
        <v>R</v>
      </c>
      <c r="AA31" s="163"/>
      <c r="AB31" s="44" t="str">
        <f>AB30</f>
        <v>M</v>
      </c>
      <c r="AC31" s="168"/>
      <c r="AD31" s="168"/>
    </row>
    <row r="32" spans="1:30" ht="18" customHeight="1" x14ac:dyDescent="0.2">
      <c r="A32" s="158">
        <v>14</v>
      </c>
      <c r="B32" s="31">
        <f>A32</f>
        <v>14</v>
      </c>
      <c r="C32" s="68" t="s">
        <v>52</v>
      </c>
      <c r="D32" s="33" t="s">
        <v>49</v>
      </c>
      <c r="E32" s="34">
        <v>147</v>
      </c>
      <c r="F32" s="35">
        <v>72</v>
      </c>
      <c r="G32" s="36">
        <v>2</v>
      </c>
      <c r="H32" s="37">
        <f t="shared" si="0"/>
        <v>219</v>
      </c>
      <c r="I32" s="34">
        <v>141</v>
      </c>
      <c r="J32" s="35">
        <v>79</v>
      </c>
      <c r="K32" s="36">
        <v>0</v>
      </c>
      <c r="L32" s="37">
        <f t="shared" si="1"/>
        <v>220</v>
      </c>
      <c r="M32" s="38">
        <f t="shared" si="2"/>
        <v>288</v>
      </c>
      <c r="N32" s="39">
        <f t="shared" si="3"/>
        <v>151</v>
      </c>
      <c r="O32" s="64">
        <f t="shared" si="4"/>
        <v>2</v>
      </c>
      <c r="P32" s="65">
        <f t="shared" si="5"/>
        <v>439</v>
      </c>
      <c r="Q32" s="42">
        <f>IF(P32="","",SUM(P32+P33))</f>
        <v>881</v>
      </c>
      <c r="R32" s="166">
        <f>Q32</f>
        <v>881</v>
      </c>
      <c r="S32" s="164">
        <f>F32+J32+F33+J33</f>
        <v>291</v>
      </c>
      <c r="T32" s="164">
        <f>IF(O32="","",SUM(O32+O33))</f>
        <v>8</v>
      </c>
      <c r="U32" s="43">
        <f t="shared" ref="U32:V32" si="32">S32</f>
        <v>291</v>
      </c>
      <c r="V32" s="43">
        <f t="shared" si="32"/>
        <v>8</v>
      </c>
      <c r="W32" s="162" t="s">
        <v>37</v>
      </c>
      <c r="X32" s="43" t="s">
        <v>37</v>
      </c>
      <c r="Y32" s="162" t="s">
        <v>50</v>
      </c>
      <c r="Z32" s="43" t="str">
        <f>Y32</f>
        <v>R</v>
      </c>
      <c r="AA32" s="162" t="s">
        <v>46</v>
      </c>
      <c r="AB32" s="44" t="str">
        <f>IF(AA32="M", "M", IF(AA32="Ž", "Ž", IF(AA32="S", "S", "")))</f>
        <v>S</v>
      </c>
      <c r="AC32" s="168"/>
      <c r="AD32" s="168"/>
    </row>
    <row r="33" spans="1:30" ht="15.75" customHeight="1" x14ac:dyDescent="0.2">
      <c r="A33" s="159"/>
      <c r="B33" s="45">
        <f>A32</f>
        <v>14</v>
      </c>
      <c r="C33" s="67" t="s">
        <v>72</v>
      </c>
      <c r="D33" s="47" t="s">
        <v>73</v>
      </c>
      <c r="E33" s="48">
        <v>156</v>
      </c>
      <c r="F33" s="49">
        <v>78</v>
      </c>
      <c r="G33" s="50">
        <v>3</v>
      </c>
      <c r="H33" s="51">
        <f t="shared" si="0"/>
        <v>234</v>
      </c>
      <c r="I33" s="48">
        <v>146</v>
      </c>
      <c r="J33" s="49">
        <v>62</v>
      </c>
      <c r="K33" s="50">
        <v>3</v>
      </c>
      <c r="L33" s="51">
        <f t="shared" si="1"/>
        <v>208</v>
      </c>
      <c r="M33" s="52">
        <f t="shared" si="2"/>
        <v>302</v>
      </c>
      <c r="N33" s="53">
        <f t="shared" si="3"/>
        <v>140</v>
      </c>
      <c r="O33" s="53">
        <f t="shared" si="4"/>
        <v>6</v>
      </c>
      <c r="P33" s="54">
        <f t="shared" si="5"/>
        <v>442</v>
      </c>
      <c r="Q33" s="55">
        <f>Q32</f>
        <v>881</v>
      </c>
      <c r="R33" s="159"/>
      <c r="S33" s="165"/>
      <c r="T33" s="165"/>
      <c r="U33" s="43">
        <f t="shared" ref="U33:V33" si="33">U32</f>
        <v>291</v>
      </c>
      <c r="V33" s="43">
        <f t="shared" si="33"/>
        <v>8</v>
      </c>
      <c r="W33" s="163"/>
      <c r="X33" s="43" t="s">
        <v>37</v>
      </c>
      <c r="Y33" s="163"/>
      <c r="Z33" s="43" t="str">
        <f>Z32</f>
        <v>R</v>
      </c>
      <c r="AA33" s="163"/>
      <c r="AB33" s="44" t="str">
        <f>AB32</f>
        <v>S</v>
      </c>
      <c r="AC33" s="168"/>
      <c r="AD33" s="168"/>
    </row>
    <row r="34" spans="1:30" ht="15.75" customHeight="1" x14ac:dyDescent="0.2">
      <c r="A34" s="158">
        <v>15</v>
      </c>
      <c r="B34" s="31">
        <f>A34</f>
        <v>15</v>
      </c>
      <c r="C34" s="68" t="s">
        <v>74</v>
      </c>
      <c r="D34" s="33" t="s">
        <v>75</v>
      </c>
      <c r="E34" s="34">
        <v>139</v>
      </c>
      <c r="F34" s="35">
        <v>44</v>
      </c>
      <c r="G34" s="36">
        <v>6</v>
      </c>
      <c r="H34" s="37">
        <f t="shared" si="0"/>
        <v>183</v>
      </c>
      <c r="I34" s="34">
        <v>135</v>
      </c>
      <c r="J34" s="35">
        <v>53</v>
      </c>
      <c r="K34" s="36">
        <v>3</v>
      </c>
      <c r="L34" s="37">
        <f t="shared" si="1"/>
        <v>188</v>
      </c>
      <c r="M34" s="38">
        <f t="shared" si="2"/>
        <v>274</v>
      </c>
      <c r="N34" s="39">
        <f t="shared" si="3"/>
        <v>97</v>
      </c>
      <c r="O34" s="64">
        <f t="shared" si="4"/>
        <v>9</v>
      </c>
      <c r="P34" s="65">
        <f t="shared" si="5"/>
        <v>371</v>
      </c>
      <c r="Q34" s="42">
        <f>IF(P34="","",SUM(P34+P35))</f>
        <v>710</v>
      </c>
      <c r="R34" s="166">
        <f>Q34</f>
        <v>710</v>
      </c>
      <c r="S34" s="164">
        <f>F34+J34+F35+J35</f>
        <v>195</v>
      </c>
      <c r="T34" s="164">
        <f>IF(O34="","",SUM(O34+O35))</f>
        <v>27</v>
      </c>
      <c r="U34" s="43">
        <f t="shared" ref="U34:V34" si="34">S34</f>
        <v>195</v>
      </c>
      <c r="V34" s="43">
        <f t="shared" si="34"/>
        <v>27</v>
      </c>
      <c r="W34" s="162" t="s">
        <v>45</v>
      </c>
      <c r="X34" s="43" t="s">
        <v>45</v>
      </c>
      <c r="Y34" s="162" t="s">
        <v>50</v>
      </c>
      <c r="Z34" s="43" t="str">
        <f>Y34</f>
        <v>R</v>
      </c>
      <c r="AA34" s="162" t="s">
        <v>39</v>
      </c>
      <c r="AB34" s="44" t="str">
        <f>IF(AA34="M", "M", IF(AA34="Ž", "Ž", IF(AA34="S", "S", "")))</f>
        <v>M</v>
      </c>
      <c r="AC34" s="168"/>
      <c r="AD34" s="168"/>
    </row>
    <row r="35" spans="1:30" ht="15.75" customHeight="1" x14ac:dyDescent="0.2">
      <c r="A35" s="159"/>
      <c r="B35" s="45">
        <f>A34</f>
        <v>15</v>
      </c>
      <c r="C35" s="67" t="s">
        <v>76</v>
      </c>
      <c r="D35" s="47" t="s">
        <v>75</v>
      </c>
      <c r="E35" s="48">
        <v>111</v>
      </c>
      <c r="F35" s="49">
        <v>27</v>
      </c>
      <c r="G35" s="50">
        <v>15</v>
      </c>
      <c r="H35" s="51">
        <f t="shared" si="0"/>
        <v>138</v>
      </c>
      <c r="I35" s="48">
        <v>130</v>
      </c>
      <c r="J35" s="49">
        <v>71</v>
      </c>
      <c r="K35" s="50">
        <v>3</v>
      </c>
      <c r="L35" s="51">
        <f t="shared" si="1"/>
        <v>201</v>
      </c>
      <c r="M35" s="52">
        <f t="shared" si="2"/>
        <v>241</v>
      </c>
      <c r="N35" s="53">
        <f t="shared" si="3"/>
        <v>98</v>
      </c>
      <c r="O35" s="53">
        <f t="shared" si="4"/>
        <v>18</v>
      </c>
      <c r="P35" s="54">
        <f t="shared" si="5"/>
        <v>339</v>
      </c>
      <c r="Q35" s="55">
        <f>Q34</f>
        <v>710</v>
      </c>
      <c r="R35" s="159"/>
      <c r="S35" s="165"/>
      <c r="T35" s="165"/>
      <c r="U35" s="43">
        <f t="shared" ref="U35:V35" si="35">U34</f>
        <v>195</v>
      </c>
      <c r="V35" s="43">
        <f t="shared" si="35"/>
        <v>27</v>
      </c>
      <c r="W35" s="163"/>
      <c r="X35" s="43" t="s">
        <v>45</v>
      </c>
      <c r="Y35" s="163"/>
      <c r="Z35" s="43" t="str">
        <f>Z34</f>
        <v>R</v>
      </c>
      <c r="AA35" s="163"/>
      <c r="AB35" s="44" t="str">
        <f>AB34</f>
        <v>M</v>
      </c>
      <c r="AC35" s="168"/>
      <c r="AD35" s="168"/>
    </row>
    <row r="36" spans="1:30" ht="15.75" customHeight="1" x14ac:dyDescent="0.2">
      <c r="A36" s="158">
        <v>16</v>
      </c>
      <c r="B36" s="31">
        <f>A36</f>
        <v>16</v>
      </c>
      <c r="C36" s="68" t="s">
        <v>77</v>
      </c>
      <c r="D36" s="33" t="s">
        <v>75</v>
      </c>
      <c r="E36" s="34">
        <v>127</v>
      </c>
      <c r="F36" s="35">
        <v>43</v>
      </c>
      <c r="G36" s="36">
        <v>12</v>
      </c>
      <c r="H36" s="37">
        <f t="shared" si="0"/>
        <v>170</v>
      </c>
      <c r="I36" s="34">
        <v>117</v>
      </c>
      <c r="J36" s="35">
        <v>70</v>
      </c>
      <c r="K36" s="36">
        <v>4</v>
      </c>
      <c r="L36" s="37">
        <f t="shared" si="1"/>
        <v>187</v>
      </c>
      <c r="M36" s="38">
        <f t="shared" si="2"/>
        <v>244</v>
      </c>
      <c r="N36" s="39">
        <f t="shared" si="3"/>
        <v>113</v>
      </c>
      <c r="O36" s="64">
        <f t="shared" si="4"/>
        <v>16</v>
      </c>
      <c r="P36" s="65">
        <f t="shared" si="5"/>
        <v>357</v>
      </c>
      <c r="Q36" s="42">
        <f>IF(P36="","",SUM(P36+P37))</f>
        <v>719</v>
      </c>
      <c r="R36" s="166">
        <f>Q36</f>
        <v>719</v>
      </c>
      <c r="S36" s="164">
        <f>F36+J36+F37+J37</f>
        <v>226</v>
      </c>
      <c r="T36" s="164">
        <f>IF(O36="","",SUM(O36+O37))</f>
        <v>32</v>
      </c>
      <c r="U36" s="43">
        <f t="shared" ref="U36:V36" si="36">S36</f>
        <v>226</v>
      </c>
      <c r="V36" s="43">
        <f t="shared" si="36"/>
        <v>32</v>
      </c>
      <c r="W36" s="162" t="s">
        <v>45</v>
      </c>
      <c r="X36" s="43" t="s">
        <v>45</v>
      </c>
      <c r="Y36" s="162" t="s">
        <v>38</v>
      </c>
      <c r="Z36" s="43" t="str">
        <f>Y36</f>
        <v>N</v>
      </c>
      <c r="AA36" s="162" t="s">
        <v>39</v>
      </c>
      <c r="AB36" s="44" t="str">
        <f>IF(AA36="M", "M", IF(AA36="Ž", "Ž", IF(AA36="S", "S", "")))</f>
        <v>M</v>
      </c>
      <c r="AC36" s="168"/>
      <c r="AD36" s="168"/>
    </row>
    <row r="37" spans="1:30" ht="15.75" customHeight="1" x14ac:dyDescent="0.2">
      <c r="A37" s="159"/>
      <c r="B37" s="45">
        <f>A36</f>
        <v>16</v>
      </c>
      <c r="C37" s="67" t="s">
        <v>78</v>
      </c>
      <c r="D37" s="47" t="s">
        <v>75</v>
      </c>
      <c r="E37" s="48">
        <v>130</v>
      </c>
      <c r="F37" s="49">
        <v>69</v>
      </c>
      <c r="G37" s="50">
        <v>8</v>
      </c>
      <c r="H37" s="51">
        <f t="shared" si="0"/>
        <v>199</v>
      </c>
      <c r="I37" s="48">
        <v>119</v>
      </c>
      <c r="J37" s="49">
        <v>44</v>
      </c>
      <c r="K37" s="50">
        <v>8</v>
      </c>
      <c r="L37" s="51">
        <f t="shared" si="1"/>
        <v>163</v>
      </c>
      <c r="M37" s="52">
        <f t="shared" si="2"/>
        <v>249</v>
      </c>
      <c r="N37" s="53">
        <f t="shared" si="3"/>
        <v>113</v>
      </c>
      <c r="O37" s="53">
        <f t="shared" si="4"/>
        <v>16</v>
      </c>
      <c r="P37" s="54">
        <f t="shared" si="5"/>
        <v>362</v>
      </c>
      <c r="Q37" s="55">
        <f>Q36</f>
        <v>719</v>
      </c>
      <c r="R37" s="159"/>
      <c r="S37" s="165"/>
      <c r="T37" s="165"/>
      <c r="U37" s="43">
        <f t="shared" ref="U37:V37" si="37">U36</f>
        <v>226</v>
      </c>
      <c r="V37" s="43">
        <f t="shared" si="37"/>
        <v>32</v>
      </c>
      <c r="W37" s="163"/>
      <c r="X37" s="43" t="s">
        <v>45</v>
      </c>
      <c r="Y37" s="163"/>
      <c r="Z37" s="43" t="str">
        <f>Z36</f>
        <v>N</v>
      </c>
      <c r="AA37" s="163"/>
      <c r="AB37" s="44" t="str">
        <f>AB36</f>
        <v>M</v>
      </c>
      <c r="AC37" s="168"/>
      <c r="AD37" s="168"/>
    </row>
    <row r="38" spans="1:30" ht="15.75" customHeight="1" x14ac:dyDescent="0.2">
      <c r="A38" s="158">
        <v>17</v>
      </c>
      <c r="B38" s="31">
        <f>A38</f>
        <v>17</v>
      </c>
      <c r="C38" s="68" t="s">
        <v>79</v>
      </c>
      <c r="D38" s="33" t="s">
        <v>49</v>
      </c>
      <c r="E38" s="34">
        <v>136</v>
      </c>
      <c r="F38" s="35">
        <v>51</v>
      </c>
      <c r="G38" s="36">
        <v>4</v>
      </c>
      <c r="H38" s="37">
        <f t="shared" si="0"/>
        <v>187</v>
      </c>
      <c r="I38" s="34">
        <v>140</v>
      </c>
      <c r="J38" s="35">
        <v>60</v>
      </c>
      <c r="K38" s="36">
        <v>5</v>
      </c>
      <c r="L38" s="37">
        <f t="shared" si="1"/>
        <v>200</v>
      </c>
      <c r="M38" s="38">
        <f t="shared" si="2"/>
        <v>276</v>
      </c>
      <c r="N38" s="39">
        <f t="shared" si="3"/>
        <v>111</v>
      </c>
      <c r="O38" s="64">
        <f t="shared" si="4"/>
        <v>9</v>
      </c>
      <c r="P38" s="65">
        <f t="shared" si="5"/>
        <v>387</v>
      </c>
      <c r="Q38" s="42">
        <f>IF(P38="","",SUM(P38+P39))</f>
        <v>783</v>
      </c>
      <c r="R38" s="166">
        <f>Q38</f>
        <v>783</v>
      </c>
      <c r="S38" s="164">
        <f>F38+J38+F39+J39</f>
        <v>241</v>
      </c>
      <c r="T38" s="164">
        <f>IF(O38="","",SUM(O38+O39))</f>
        <v>15</v>
      </c>
      <c r="U38" s="43">
        <f t="shared" ref="U38:V38" si="38">S38</f>
        <v>241</v>
      </c>
      <c r="V38" s="43">
        <f t="shared" si="38"/>
        <v>15</v>
      </c>
      <c r="W38" s="162" t="s">
        <v>45</v>
      </c>
      <c r="X38" s="43" t="s">
        <v>45</v>
      </c>
      <c r="Y38" s="162" t="s">
        <v>38</v>
      </c>
      <c r="Z38" s="43" t="str">
        <f>Y38</f>
        <v>N</v>
      </c>
      <c r="AA38" s="162" t="s">
        <v>39</v>
      </c>
      <c r="AB38" s="44" t="str">
        <f>IF(AA38="M", "M", IF(AA38="Ž", "Ž", IF(AA38="S", "S", "")))</f>
        <v>M</v>
      </c>
      <c r="AC38" s="168"/>
      <c r="AD38" s="168"/>
    </row>
    <row r="39" spans="1:30" ht="15.75" customHeight="1" x14ac:dyDescent="0.2">
      <c r="A39" s="159"/>
      <c r="B39" s="45">
        <f>A38</f>
        <v>17</v>
      </c>
      <c r="C39" s="67" t="s">
        <v>80</v>
      </c>
      <c r="D39" s="47" t="s">
        <v>49</v>
      </c>
      <c r="E39" s="48">
        <v>127</v>
      </c>
      <c r="F39" s="49">
        <v>77</v>
      </c>
      <c r="G39" s="50">
        <v>1</v>
      </c>
      <c r="H39" s="51">
        <f t="shared" si="0"/>
        <v>204</v>
      </c>
      <c r="I39" s="48">
        <v>139</v>
      </c>
      <c r="J39" s="49">
        <v>53</v>
      </c>
      <c r="K39" s="50">
        <v>5</v>
      </c>
      <c r="L39" s="51">
        <f t="shared" si="1"/>
        <v>192</v>
      </c>
      <c r="M39" s="52">
        <f t="shared" si="2"/>
        <v>266</v>
      </c>
      <c r="N39" s="53">
        <f t="shared" si="3"/>
        <v>130</v>
      </c>
      <c r="O39" s="53">
        <f t="shared" si="4"/>
        <v>6</v>
      </c>
      <c r="P39" s="54">
        <f t="shared" si="5"/>
        <v>396</v>
      </c>
      <c r="Q39" s="55">
        <f>Q38</f>
        <v>783</v>
      </c>
      <c r="R39" s="159"/>
      <c r="S39" s="165"/>
      <c r="T39" s="165"/>
      <c r="U39" s="43">
        <f t="shared" ref="U39:V39" si="39">U38</f>
        <v>241</v>
      </c>
      <c r="V39" s="43">
        <f t="shared" si="39"/>
        <v>15</v>
      </c>
      <c r="W39" s="163"/>
      <c r="X39" s="43" t="s">
        <v>45</v>
      </c>
      <c r="Y39" s="163"/>
      <c r="Z39" s="43" t="str">
        <f>Z38</f>
        <v>N</v>
      </c>
      <c r="AA39" s="163"/>
      <c r="AB39" s="44" t="str">
        <f>AB38</f>
        <v>M</v>
      </c>
      <c r="AC39" s="168"/>
      <c r="AD39" s="168"/>
    </row>
    <row r="40" spans="1:30" ht="15.75" customHeight="1" x14ac:dyDescent="0.2">
      <c r="A40" s="158">
        <v>18</v>
      </c>
      <c r="B40" s="31">
        <f>A40</f>
        <v>18</v>
      </c>
      <c r="C40" s="68" t="s">
        <v>81</v>
      </c>
      <c r="D40" s="33" t="s">
        <v>49</v>
      </c>
      <c r="E40" s="34">
        <v>152</v>
      </c>
      <c r="F40" s="35">
        <v>81</v>
      </c>
      <c r="G40" s="36">
        <v>1</v>
      </c>
      <c r="H40" s="37">
        <f t="shared" si="0"/>
        <v>233</v>
      </c>
      <c r="I40" s="34">
        <v>154</v>
      </c>
      <c r="J40" s="35">
        <v>59</v>
      </c>
      <c r="K40" s="36">
        <v>4</v>
      </c>
      <c r="L40" s="37">
        <f t="shared" si="1"/>
        <v>213</v>
      </c>
      <c r="M40" s="38">
        <f t="shared" si="2"/>
        <v>306</v>
      </c>
      <c r="N40" s="39">
        <f t="shared" si="3"/>
        <v>140</v>
      </c>
      <c r="O40" s="64">
        <f t="shared" si="4"/>
        <v>5</v>
      </c>
      <c r="P40" s="65">
        <f t="shared" si="5"/>
        <v>446</v>
      </c>
      <c r="Q40" s="42">
        <f>IF(P40="","",SUM(P40+P41))</f>
        <v>883</v>
      </c>
      <c r="R40" s="166">
        <f>Q40</f>
        <v>883</v>
      </c>
      <c r="S40" s="164">
        <f>F40+J40+F41+J41</f>
        <v>278</v>
      </c>
      <c r="T40" s="164">
        <f>IF(O40="","",SUM(O40+O41))</f>
        <v>9</v>
      </c>
      <c r="U40" s="43">
        <f t="shared" ref="U40:V40" si="40">S40</f>
        <v>278</v>
      </c>
      <c r="V40" s="43">
        <f t="shared" si="40"/>
        <v>9</v>
      </c>
      <c r="W40" s="162" t="s">
        <v>37</v>
      </c>
      <c r="X40" s="43" t="s">
        <v>37</v>
      </c>
      <c r="Y40" s="162" t="s">
        <v>50</v>
      </c>
      <c r="Z40" s="43" t="str">
        <f>Y40</f>
        <v>R</v>
      </c>
      <c r="AA40" s="162" t="s">
        <v>39</v>
      </c>
      <c r="AB40" s="44" t="str">
        <f>IF(AA40="M", "M", IF(AA40="Ž", "Ž", IF(AA40="S", "S", "")))</f>
        <v>M</v>
      </c>
      <c r="AC40" s="168"/>
      <c r="AD40" s="168"/>
    </row>
    <row r="41" spans="1:30" ht="15.75" customHeight="1" x14ac:dyDescent="0.2">
      <c r="A41" s="159"/>
      <c r="B41" s="45">
        <f>A40</f>
        <v>18</v>
      </c>
      <c r="C41" s="67" t="s">
        <v>82</v>
      </c>
      <c r="D41" s="47" t="s">
        <v>49</v>
      </c>
      <c r="E41" s="48">
        <v>156</v>
      </c>
      <c r="F41" s="49">
        <v>67</v>
      </c>
      <c r="G41" s="50">
        <v>2</v>
      </c>
      <c r="H41" s="51">
        <f t="shared" si="0"/>
        <v>223</v>
      </c>
      <c r="I41" s="48">
        <v>143</v>
      </c>
      <c r="J41" s="49">
        <v>71</v>
      </c>
      <c r="K41" s="50">
        <v>2</v>
      </c>
      <c r="L41" s="51">
        <f t="shared" si="1"/>
        <v>214</v>
      </c>
      <c r="M41" s="52">
        <f t="shared" si="2"/>
        <v>299</v>
      </c>
      <c r="N41" s="53">
        <f t="shared" si="3"/>
        <v>138</v>
      </c>
      <c r="O41" s="53">
        <f t="shared" si="4"/>
        <v>4</v>
      </c>
      <c r="P41" s="54">
        <f t="shared" si="5"/>
        <v>437</v>
      </c>
      <c r="Q41" s="55">
        <f>Q40</f>
        <v>883</v>
      </c>
      <c r="R41" s="159"/>
      <c r="S41" s="165"/>
      <c r="T41" s="165"/>
      <c r="U41" s="43">
        <f t="shared" ref="U41:V41" si="41">U40</f>
        <v>278</v>
      </c>
      <c r="V41" s="43">
        <f t="shared" si="41"/>
        <v>9</v>
      </c>
      <c r="W41" s="163"/>
      <c r="X41" s="43" t="s">
        <v>37</v>
      </c>
      <c r="Y41" s="163"/>
      <c r="Z41" s="43" t="str">
        <f>Z40</f>
        <v>R</v>
      </c>
      <c r="AA41" s="163"/>
      <c r="AB41" s="44" t="str">
        <f>AB40</f>
        <v>M</v>
      </c>
      <c r="AC41" s="168"/>
      <c r="AD41" s="168"/>
    </row>
    <row r="42" spans="1:30" ht="15.75" customHeight="1" x14ac:dyDescent="0.2">
      <c r="A42" s="158">
        <v>19</v>
      </c>
      <c r="B42" s="31">
        <f>A42</f>
        <v>19</v>
      </c>
      <c r="C42" s="68" t="s">
        <v>83</v>
      </c>
      <c r="D42" s="33" t="s">
        <v>73</v>
      </c>
      <c r="E42" s="34">
        <v>147</v>
      </c>
      <c r="F42" s="35">
        <v>69</v>
      </c>
      <c r="G42" s="36">
        <v>3</v>
      </c>
      <c r="H42" s="37">
        <f t="shared" si="0"/>
        <v>216</v>
      </c>
      <c r="I42" s="34">
        <v>153</v>
      </c>
      <c r="J42" s="35">
        <v>72</v>
      </c>
      <c r="K42" s="36">
        <v>2</v>
      </c>
      <c r="L42" s="37">
        <f t="shared" si="1"/>
        <v>225</v>
      </c>
      <c r="M42" s="38">
        <f t="shared" si="2"/>
        <v>300</v>
      </c>
      <c r="N42" s="39">
        <f t="shared" si="3"/>
        <v>141</v>
      </c>
      <c r="O42" s="64">
        <f t="shared" si="4"/>
        <v>5</v>
      </c>
      <c r="P42" s="65">
        <f t="shared" si="5"/>
        <v>441</v>
      </c>
      <c r="Q42" s="42">
        <f>IF(P42="","",SUM(P42+P43))</f>
        <v>845</v>
      </c>
      <c r="R42" s="166">
        <f>Q42</f>
        <v>845</v>
      </c>
      <c r="S42" s="164">
        <f>F42+J42+F43+J43</f>
        <v>272</v>
      </c>
      <c r="T42" s="164">
        <f>IF(O42="","",SUM(O42+O43))</f>
        <v>11</v>
      </c>
      <c r="U42" s="43">
        <f t="shared" ref="U42:V42" si="42">S42</f>
        <v>272</v>
      </c>
      <c r="V42" s="43">
        <f t="shared" si="42"/>
        <v>11</v>
      </c>
      <c r="W42" s="162" t="s">
        <v>37</v>
      </c>
      <c r="X42" s="43" t="s">
        <v>37</v>
      </c>
      <c r="Y42" s="162" t="s">
        <v>50</v>
      </c>
      <c r="Z42" s="43" t="str">
        <f>Y42</f>
        <v>R</v>
      </c>
      <c r="AA42" s="162" t="s">
        <v>39</v>
      </c>
      <c r="AB42" s="44" t="str">
        <f>IF(AA42="M", "M", IF(AA42="Ž", "Ž", IF(AA42="S", "S", "")))</f>
        <v>M</v>
      </c>
      <c r="AC42" s="168"/>
      <c r="AD42" s="168"/>
    </row>
    <row r="43" spans="1:30" ht="15.75" customHeight="1" x14ac:dyDescent="0.2">
      <c r="A43" s="159"/>
      <c r="B43" s="45">
        <f>A42</f>
        <v>19</v>
      </c>
      <c r="C43" s="67" t="s">
        <v>84</v>
      </c>
      <c r="D43" s="47" t="s">
        <v>73</v>
      </c>
      <c r="E43" s="48">
        <v>134</v>
      </c>
      <c r="F43" s="49">
        <v>61</v>
      </c>
      <c r="G43" s="50">
        <v>5</v>
      </c>
      <c r="H43" s="51">
        <f t="shared" si="0"/>
        <v>195</v>
      </c>
      <c r="I43" s="48">
        <v>139</v>
      </c>
      <c r="J43" s="49">
        <v>70</v>
      </c>
      <c r="K43" s="50">
        <v>1</v>
      </c>
      <c r="L43" s="51">
        <f t="shared" si="1"/>
        <v>209</v>
      </c>
      <c r="M43" s="52">
        <f t="shared" si="2"/>
        <v>273</v>
      </c>
      <c r="N43" s="53">
        <f t="shared" si="3"/>
        <v>131</v>
      </c>
      <c r="O43" s="53">
        <f t="shared" si="4"/>
        <v>6</v>
      </c>
      <c r="P43" s="54">
        <f t="shared" si="5"/>
        <v>404</v>
      </c>
      <c r="Q43" s="55">
        <f>Q42</f>
        <v>845</v>
      </c>
      <c r="R43" s="159"/>
      <c r="S43" s="165"/>
      <c r="T43" s="165"/>
      <c r="U43" s="43">
        <f t="shared" ref="U43:V43" si="43">U42</f>
        <v>272</v>
      </c>
      <c r="V43" s="43">
        <f t="shared" si="43"/>
        <v>11</v>
      </c>
      <c r="W43" s="163"/>
      <c r="X43" s="43" t="s">
        <v>37</v>
      </c>
      <c r="Y43" s="163"/>
      <c r="Z43" s="43" t="str">
        <f>Z42</f>
        <v>R</v>
      </c>
      <c r="AA43" s="163"/>
      <c r="AB43" s="44" t="str">
        <f>AB42</f>
        <v>M</v>
      </c>
      <c r="AC43" s="168"/>
      <c r="AD43" s="168"/>
    </row>
    <row r="44" spans="1:30" ht="15.75" customHeight="1" x14ac:dyDescent="0.2">
      <c r="A44" s="158">
        <v>20</v>
      </c>
      <c r="B44" s="31">
        <f>A44</f>
        <v>20</v>
      </c>
      <c r="C44" s="68" t="s">
        <v>85</v>
      </c>
      <c r="D44" s="33" t="s">
        <v>49</v>
      </c>
      <c r="E44" s="34">
        <v>129</v>
      </c>
      <c r="F44" s="35">
        <v>34</v>
      </c>
      <c r="G44" s="36">
        <v>13</v>
      </c>
      <c r="H44" s="37">
        <f t="shared" si="0"/>
        <v>163</v>
      </c>
      <c r="I44" s="34">
        <v>134</v>
      </c>
      <c r="J44" s="35">
        <v>52</v>
      </c>
      <c r="K44" s="36">
        <v>5</v>
      </c>
      <c r="L44" s="37">
        <f t="shared" si="1"/>
        <v>186</v>
      </c>
      <c r="M44" s="38">
        <f t="shared" si="2"/>
        <v>263</v>
      </c>
      <c r="N44" s="39">
        <f t="shared" si="3"/>
        <v>86</v>
      </c>
      <c r="O44" s="64">
        <f t="shared" si="4"/>
        <v>18</v>
      </c>
      <c r="P44" s="65">
        <f t="shared" si="5"/>
        <v>349</v>
      </c>
      <c r="Q44" s="42">
        <f>IF(P44="","",SUM(P44+P45))</f>
        <v>748</v>
      </c>
      <c r="R44" s="166">
        <f>Q44</f>
        <v>748</v>
      </c>
      <c r="S44" s="164">
        <f>F44+J44+F45+J45</f>
        <v>214</v>
      </c>
      <c r="T44" s="164">
        <f>IF(O44="","",SUM(O44+O45))</f>
        <v>25</v>
      </c>
      <c r="U44" s="43">
        <f t="shared" ref="U44:V44" si="44">S44</f>
        <v>214</v>
      </c>
      <c r="V44" s="43">
        <f t="shared" si="44"/>
        <v>25</v>
      </c>
      <c r="W44" s="162" t="s">
        <v>37</v>
      </c>
      <c r="X44" s="43" t="s">
        <v>37</v>
      </c>
      <c r="Y44" s="162" t="s">
        <v>50</v>
      </c>
      <c r="Z44" s="43" t="str">
        <f>Y44</f>
        <v>R</v>
      </c>
      <c r="AA44" s="162" t="s">
        <v>69</v>
      </c>
      <c r="AB44" s="44" t="str">
        <f>IF(AA44="M", "M", IF(AA44="Ž", "Ž", IF(AA44="S", "S", "")))</f>
        <v>Ž</v>
      </c>
      <c r="AC44" s="168"/>
      <c r="AD44" s="168"/>
    </row>
    <row r="45" spans="1:30" ht="15.75" customHeight="1" x14ac:dyDescent="0.2">
      <c r="A45" s="159"/>
      <c r="B45" s="45">
        <f>A44</f>
        <v>20</v>
      </c>
      <c r="C45" s="67" t="s">
        <v>86</v>
      </c>
      <c r="D45" s="47" t="s">
        <v>49</v>
      </c>
      <c r="E45" s="48">
        <v>138</v>
      </c>
      <c r="F45" s="49">
        <v>65</v>
      </c>
      <c r="G45" s="50">
        <v>5</v>
      </c>
      <c r="H45" s="51">
        <f t="shared" si="0"/>
        <v>203</v>
      </c>
      <c r="I45" s="48">
        <v>133</v>
      </c>
      <c r="J45" s="49">
        <v>63</v>
      </c>
      <c r="K45" s="50">
        <v>2</v>
      </c>
      <c r="L45" s="51">
        <f t="shared" si="1"/>
        <v>196</v>
      </c>
      <c r="M45" s="52">
        <f t="shared" si="2"/>
        <v>271</v>
      </c>
      <c r="N45" s="53">
        <f t="shared" si="3"/>
        <v>128</v>
      </c>
      <c r="O45" s="53">
        <f t="shared" si="4"/>
        <v>7</v>
      </c>
      <c r="P45" s="54">
        <f t="shared" si="5"/>
        <v>399</v>
      </c>
      <c r="Q45" s="55">
        <f>Q44</f>
        <v>748</v>
      </c>
      <c r="R45" s="159"/>
      <c r="S45" s="165"/>
      <c r="T45" s="165"/>
      <c r="U45" s="43">
        <f t="shared" ref="U45:V45" si="45">U44</f>
        <v>214</v>
      </c>
      <c r="V45" s="43">
        <f t="shared" si="45"/>
        <v>25</v>
      </c>
      <c r="W45" s="163"/>
      <c r="X45" s="43" t="s">
        <v>37</v>
      </c>
      <c r="Y45" s="163"/>
      <c r="Z45" s="43" t="str">
        <f>Z44</f>
        <v>R</v>
      </c>
      <c r="AA45" s="163"/>
      <c r="AB45" s="44" t="str">
        <f>AB44</f>
        <v>Ž</v>
      </c>
      <c r="AC45" s="168"/>
      <c r="AD45" s="168"/>
    </row>
    <row r="46" spans="1:30" ht="15.75" customHeight="1" x14ac:dyDescent="0.2">
      <c r="A46" s="158">
        <v>21</v>
      </c>
      <c r="B46" s="31">
        <f>A46</f>
        <v>21</v>
      </c>
      <c r="C46" s="68" t="s">
        <v>87</v>
      </c>
      <c r="D46" s="33" t="s">
        <v>49</v>
      </c>
      <c r="E46" s="34">
        <v>143</v>
      </c>
      <c r="F46" s="35">
        <v>62</v>
      </c>
      <c r="G46" s="36">
        <v>2</v>
      </c>
      <c r="H46" s="37">
        <f t="shared" si="0"/>
        <v>205</v>
      </c>
      <c r="I46" s="34">
        <v>142</v>
      </c>
      <c r="J46" s="35">
        <v>79</v>
      </c>
      <c r="K46" s="36">
        <v>0</v>
      </c>
      <c r="L46" s="37">
        <f t="shared" si="1"/>
        <v>221</v>
      </c>
      <c r="M46" s="38">
        <f t="shared" si="2"/>
        <v>285</v>
      </c>
      <c r="N46" s="39">
        <f t="shared" si="3"/>
        <v>141</v>
      </c>
      <c r="O46" s="64">
        <f t="shared" si="4"/>
        <v>2</v>
      </c>
      <c r="P46" s="65">
        <f t="shared" si="5"/>
        <v>426</v>
      </c>
      <c r="Q46" s="42">
        <f>IF(P46="","",SUM(P46+P47))</f>
        <v>835</v>
      </c>
      <c r="R46" s="166">
        <f>Q46</f>
        <v>835</v>
      </c>
      <c r="S46" s="164">
        <f>F46+J46+F47+J47</f>
        <v>248</v>
      </c>
      <c r="T46" s="164">
        <f>IF(O46="","",SUM(O46+O47))</f>
        <v>12</v>
      </c>
      <c r="U46" s="43">
        <f t="shared" ref="U46:V46" si="46">S46</f>
        <v>248</v>
      </c>
      <c r="V46" s="43">
        <f t="shared" si="46"/>
        <v>12</v>
      </c>
      <c r="W46" s="162" t="s">
        <v>37</v>
      </c>
      <c r="X46" s="43" t="s">
        <v>37</v>
      </c>
      <c r="Y46" s="162" t="s">
        <v>50</v>
      </c>
      <c r="Z46" s="43" t="str">
        <f>Y46</f>
        <v>R</v>
      </c>
      <c r="AA46" s="162" t="s">
        <v>39</v>
      </c>
      <c r="AB46" s="44" t="str">
        <f>IF(AA46="M", "M", IF(AA46="Ž", "Ž", IF(AA46="S", "S", "")))</f>
        <v>M</v>
      </c>
      <c r="AC46" s="168"/>
      <c r="AD46" s="168"/>
    </row>
    <row r="47" spans="1:30" ht="15.75" customHeight="1" x14ac:dyDescent="0.2">
      <c r="A47" s="159"/>
      <c r="B47" s="45">
        <f>A46</f>
        <v>21</v>
      </c>
      <c r="C47" s="67" t="s">
        <v>53</v>
      </c>
      <c r="D47" s="47" t="s">
        <v>49</v>
      </c>
      <c r="E47" s="48">
        <v>156</v>
      </c>
      <c r="F47" s="49">
        <v>53</v>
      </c>
      <c r="G47" s="50">
        <v>5</v>
      </c>
      <c r="H47" s="51">
        <f t="shared" si="0"/>
        <v>209</v>
      </c>
      <c r="I47" s="48">
        <v>146</v>
      </c>
      <c r="J47" s="49">
        <v>54</v>
      </c>
      <c r="K47" s="50">
        <v>5</v>
      </c>
      <c r="L47" s="51">
        <f t="shared" si="1"/>
        <v>200</v>
      </c>
      <c r="M47" s="52">
        <f t="shared" si="2"/>
        <v>302</v>
      </c>
      <c r="N47" s="53">
        <f t="shared" si="3"/>
        <v>107</v>
      </c>
      <c r="O47" s="53">
        <f t="shared" si="4"/>
        <v>10</v>
      </c>
      <c r="P47" s="54">
        <f t="shared" si="5"/>
        <v>409</v>
      </c>
      <c r="Q47" s="55">
        <f>Q46</f>
        <v>835</v>
      </c>
      <c r="R47" s="159"/>
      <c r="S47" s="165"/>
      <c r="T47" s="165"/>
      <c r="U47" s="43">
        <f t="shared" ref="U47:V47" si="47">U46</f>
        <v>248</v>
      </c>
      <c r="V47" s="43">
        <f t="shared" si="47"/>
        <v>12</v>
      </c>
      <c r="W47" s="163"/>
      <c r="X47" s="43" t="s">
        <v>37</v>
      </c>
      <c r="Y47" s="163"/>
      <c r="Z47" s="43" t="str">
        <f>Z46</f>
        <v>R</v>
      </c>
      <c r="AA47" s="163"/>
      <c r="AB47" s="44" t="str">
        <f>AB46</f>
        <v>M</v>
      </c>
      <c r="AC47" s="168"/>
      <c r="AD47" s="168"/>
    </row>
    <row r="48" spans="1:30" ht="15.75" customHeight="1" x14ac:dyDescent="0.2">
      <c r="A48" s="158">
        <v>22</v>
      </c>
      <c r="B48" s="31">
        <f>A48</f>
        <v>22</v>
      </c>
      <c r="C48" s="68" t="s">
        <v>88</v>
      </c>
      <c r="D48" s="33" t="s">
        <v>89</v>
      </c>
      <c r="E48" s="34">
        <v>153</v>
      </c>
      <c r="F48" s="35">
        <v>70</v>
      </c>
      <c r="G48" s="36">
        <v>2</v>
      </c>
      <c r="H48" s="37">
        <f t="shared" si="0"/>
        <v>223</v>
      </c>
      <c r="I48" s="34">
        <v>144</v>
      </c>
      <c r="J48" s="35">
        <v>62</v>
      </c>
      <c r="K48" s="36">
        <v>3</v>
      </c>
      <c r="L48" s="37">
        <f t="shared" si="1"/>
        <v>206</v>
      </c>
      <c r="M48" s="38">
        <f t="shared" si="2"/>
        <v>297</v>
      </c>
      <c r="N48" s="39">
        <f t="shared" si="3"/>
        <v>132</v>
      </c>
      <c r="O48" s="64">
        <f t="shared" si="4"/>
        <v>5</v>
      </c>
      <c r="P48" s="65">
        <f t="shared" si="5"/>
        <v>429</v>
      </c>
      <c r="Q48" s="42">
        <f>IF(P48="","",SUM(P48+P49))</f>
        <v>873</v>
      </c>
      <c r="R48" s="166">
        <f>Q48</f>
        <v>873</v>
      </c>
      <c r="S48" s="164">
        <f>F48+J48+F49+J49</f>
        <v>291</v>
      </c>
      <c r="T48" s="164">
        <f>IF(O48="","",SUM(O48+O49))</f>
        <v>8</v>
      </c>
      <c r="U48" s="43">
        <f t="shared" ref="U48:V48" si="48">S48</f>
        <v>291</v>
      </c>
      <c r="V48" s="43">
        <f t="shared" si="48"/>
        <v>8</v>
      </c>
      <c r="W48" s="162" t="s">
        <v>37</v>
      </c>
      <c r="X48" s="43" t="s">
        <v>37</v>
      </c>
      <c r="Y48" s="162" t="s">
        <v>50</v>
      </c>
      <c r="Z48" s="43" t="str">
        <f>Y48</f>
        <v>R</v>
      </c>
      <c r="AA48" s="162" t="s">
        <v>39</v>
      </c>
      <c r="AB48" s="44" t="str">
        <f>IF(AA48="M", "M", IF(AA48="Ž", "Ž", IF(AA48="S", "S", "")))</f>
        <v>M</v>
      </c>
      <c r="AC48" s="168"/>
      <c r="AD48" s="168"/>
    </row>
    <row r="49" spans="1:30" ht="15.75" customHeight="1" x14ac:dyDescent="0.2">
      <c r="A49" s="159"/>
      <c r="B49" s="45">
        <f>A48</f>
        <v>22</v>
      </c>
      <c r="C49" s="67" t="s">
        <v>90</v>
      </c>
      <c r="D49" s="47" t="s">
        <v>89</v>
      </c>
      <c r="E49" s="48">
        <v>136</v>
      </c>
      <c r="F49" s="49">
        <v>71</v>
      </c>
      <c r="G49" s="50">
        <v>2</v>
      </c>
      <c r="H49" s="51">
        <f t="shared" si="0"/>
        <v>207</v>
      </c>
      <c r="I49" s="48">
        <v>149</v>
      </c>
      <c r="J49" s="49">
        <v>88</v>
      </c>
      <c r="K49" s="50">
        <v>1</v>
      </c>
      <c r="L49" s="51">
        <f t="shared" si="1"/>
        <v>237</v>
      </c>
      <c r="M49" s="52">
        <f t="shared" si="2"/>
        <v>285</v>
      </c>
      <c r="N49" s="53">
        <f t="shared" si="3"/>
        <v>159</v>
      </c>
      <c r="O49" s="53">
        <f t="shared" si="4"/>
        <v>3</v>
      </c>
      <c r="P49" s="54">
        <f t="shared" si="5"/>
        <v>444</v>
      </c>
      <c r="Q49" s="55">
        <f>Q48</f>
        <v>873</v>
      </c>
      <c r="R49" s="159"/>
      <c r="S49" s="165"/>
      <c r="T49" s="165"/>
      <c r="U49" s="43">
        <f t="shared" ref="U49:V49" si="49">U48</f>
        <v>291</v>
      </c>
      <c r="V49" s="43">
        <f t="shared" si="49"/>
        <v>8</v>
      </c>
      <c r="W49" s="163"/>
      <c r="X49" s="43" t="s">
        <v>37</v>
      </c>
      <c r="Y49" s="163"/>
      <c r="Z49" s="43" t="str">
        <f>Z48</f>
        <v>R</v>
      </c>
      <c r="AA49" s="163"/>
      <c r="AB49" s="44" t="str">
        <f>AB48</f>
        <v>M</v>
      </c>
      <c r="AC49" s="168"/>
      <c r="AD49" s="168"/>
    </row>
    <row r="50" spans="1:30" ht="15.75" customHeight="1" x14ac:dyDescent="0.2">
      <c r="A50" s="158">
        <v>23</v>
      </c>
      <c r="B50" s="31">
        <f>A50</f>
        <v>23</v>
      </c>
      <c r="C50" s="68" t="s">
        <v>91</v>
      </c>
      <c r="D50" s="33" t="s">
        <v>49</v>
      </c>
      <c r="E50" s="34">
        <v>136</v>
      </c>
      <c r="F50" s="35">
        <v>85</v>
      </c>
      <c r="G50" s="36">
        <v>0</v>
      </c>
      <c r="H50" s="37">
        <f t="shared" si="0"/>
        <v>221</v>
      </c>
      <c r="I50" s="34">
        <v>146</v>
      </c>
      <c r="J50" s="35">
        <v>63</v>
      </c>
      <c r="K50" s="36">
        <v>2</v>
      </c>
      <c r="L50" s="37">
        <f t="shared" si="1"/>
        <v>209</v>
      </c>
      <c r="M50" s="38">
        <f t="shared" si="2"/>
        <v>282</v>
      </c>
      <c r="N50" s="39">
        <f t="shared" si="3"/>
        <v>148</v>
      </c>
      <c r="O50" s="64">
        <f t="shared" si="4"/>
        <v>2</v>
      </c>
      <c r="P50" s="65">
        <f t="shared" si="5"/>
        <v>430</v>
      </c>
      <c r="Q50" s="42">
        <f>IF(P50="","",SUM(P50+P51))</f>
        <v>856</v>
      </c>
      <c r="R50" s="166">
        <f>Q50</f>
        <v>856</v>
      </c>
      <c r="S50" s="164">
        <f>F50+J50+F51+J51</f>
        <v>269</v>
      </c>
      <c r="T50" s="164">
        <f>IF(O50="","",SUM(O50+O51))</f>
        <v>9</v>
      </c>
      <c r="U50" s="43">
        <f t="shared" ref="U50:V50" si="50">S50</f>
        <v>269</v>
      </c>
      <c r="V50" s="43">
        <f t="shared" si="50"/>
        <v>9</v>
      </c>
      <c r="W50" s="162" t="s">
        <v>45</v>
      </c>
      <c r="X50" s="43" t="s">
        <v>45</v>
      </c>
      <c r="Y50" s="162" t="s">
        <v>50</v>
      </c>
      <c r="Z50" s="43" t="str">
        <f>Y50</f>
        <v>R</v>
      </c>
      <c r="AA50" s="162" t="s">
        <v>46</v>
      </c>
      <c r="AB50" s="44" t="str">
        <f>IF(AA50="M", "M", IF(AA50="Ž", "Ž", IF(AA50="S", "S", "")))</f>
        <v>S</v>
      </c>
      <c r="AC50" s="168"/>
      <c r="AD50" s="168"/>
    </row>
    <row r="51" spans="1:30" ht="15.75" customHeight="1" x14ac:dyDescent="0.2">
      <c r="A51" s="159"/>
      <c r="B51" s="45">
        <f>A50</f>
        <v>23</v>
      </c>
      <c r="C51" s="67" t="s">
        <v>92</v>
      </c>
      <c r="D51" s="47" t="s">
        <v>49</v>
      </c>
      <c r="E51" s="48">
        <v>149</v>
      </c>
      <c r="F51" s="49">
        <v>60</v>
      </c>
      <c r="G51" s="50">
        <v>4</v>
      </c>
      <c r="H51" s="51">
        <f t="shared" si="0"/>
        <v>209</v>
      </c>
      <c r="I51" s="48">
        <v>156</v>
      </c>
      <c r="J51" s="49">
        <v>61</v>
      </c>
      <c r="K51" s="50">
        <v>3</v>
      </c>
      <c r="L51" s="51">
        <f t="shared" si="1"/>
        <v>217</v>
      </c>
      <c r="M51" s="52">
        <f t="shared" si="2"/>
        <v>305</v>
      </c>
      <c r="N51" s="53">
        <f t="shared" si="3"/>
        <v>121</v>
      </c>
      <c r="O51" s="53">
        <f t="shared" si="4"/>
        <v>7</v>
      </c>
      <c r="P51" s="54">
        <f t="shared" si="5"/>
        <v>426</v>
      </c>
      <c r="Q51" s="55">
        <f>Q50</f>
        <v>856</v>
      </c>
      <c r="R51" s="159"/>
      <c r="S51" s="165"/>
      <c r="T51" s="165"/>
      <c r="U51" s="43">
        <f t="shared" ref="U51:V51" si="51">U50</f>
        <v>269</v>
      </c>
      <c r="V51" s="43">
        <f t="shared" si="51"/>
        <v>9</v>
      </c>
      <c r="W51" s="163"/>
      <c r="X51" s="43" t="s">
        <v>45</v>
      </c>
      <c r="Y51" s="163"/>
      <c r="Z51" s="43" t="str">
        <f>Z50</f>
        <v>R</v>
      </c>
      <c r="AA51" s="163"/>
      <c r="AB51" s="44" t="str">
        <f>AB50</f>
        <v>S</v>
      </c>
      <c r="AC51" s="168"/>
      <c r="AD51" s="168"/>
    </row>
    <row r="52" spans="1:30" ht="15.75" customHeight="1" x14ac:dyDescent="0.2">
      <c r="A52" s="158">
        <v>24</v>
      </c>
      <c r="B52" s="31">
        <f>A52</f>
        <v>24</v>
      </c>
      <c r="C52" s="68" t="s">
        <v>93</v>
      </c>
      <c r="D52" s="33" t="s">
        <v>73</v>
      </c>
      <c r="E52" s="34">
        <v>146</v>
      </c>
      <c r="F52" s="35">
        <v>62</v>
      </c>
      <c r="G52" s="36">
        <v>4</v>
      </c>
      <c r="H52" s="37">
        <f t="shared" si="0"/>
        <v>208</v>
      </c>
      <c r="I52" s="34">
        <v>160</v>
      </c>
      <c r="J52" s="35">
        <v>75</v>
      </c>
      <c r="K52" s="36">
        <v>0</v>
      </c>
      <c r="L52" s="37">
        <f t="shared" si="1"/>
        <v>235</v>
      </c>
      <c r="M52" s="38">
        <f t="shared" si="2"/>
        <v>306</v>
      </c>
      <c r="N52" s="39">
        <f t="shared" si="3"/>
        <v>137</v>
      </c>
      <c r="O52" s="64">
        <f t="shared" si="4"/>
        <v>4</v>
      </c>
      <c r="P52" s="65">
        <f t="shared" si="5"/>
        <v>443</v>
      </c>
      <c r="Q52" s="42">
        <f>IF(P52="","",SUM(P52+P53))</f>
        <v>879</v>
      </c>
      <c r="R52" s="166">
        <f>Q52</f>
        <v>879</v>
      </c>
      <c r="S52" s="164">
        <f>F52+J52+F53+J53</f>
        <v>290</v>
      </c>
      <c r="T52" s="164">
        <f>IF(O52="","",SUM(O52+O53))</f>
        <v>5</v>
      </c>
      <c r="U52" s="43">
        <f t="shared" ref="U52:V52" si="52">S52</f>
        <v>290</v>
      </c>
      <c r="V52" s="43">
        <f t="shared" si="52"/>
        <v>5</v>
      </c>
      <c r="W52" s="162" t="s">
        <v>37</v>
      </c>
      <c r="X52" s="43" t="s">
        <v>37</v>
      </c>
      <c r="Y52" s="162" t="s">
        <v>50</v>
      </c>
      <c r="Z52" s="43" t="str">
        <f>Y52</f>
        <v>R</v>
      </c>
      <c r="AA52" s="162" t="s">
        <v>39</v>
      </c>
      <c r="AB52" s="44" t="str">
        <f>IF(AA52="M", "M", IF(AA52="Ž", "Ž", IF(AA52="S", "S", "")))</f>
        <v>M</v>
      </c>
      <c r="AC52" s="168"/>
      <c r="AD52" s="168"/>
    </row>
    <row r="53" spans="1:30" ht="15.75" customHeight="1" x14ac:dyDescent="0.2">
      <c r="A53" s="159"/>
      <c r="B53" s="45">
        <f>A52</f>
        <v>24</v>
      </c>
      <c r="C53" s="67" t="s">
        <v>94</v>
      </c>
      <c r="D53" s="47" t="s">
        <v>73</v>
      </c>
      <c r="E53" s="48">
        <v>146</v>
      </c>
      <c r="F53" s="49">
        <v>72</v>
      </c>
      <c r="G53" s="50">
        <v>0</v>
      </c>
      <c r="H53" s="51">
        <f t="shared" si="0"/>
        <v>218</v>
      </c>
      <c r="I53" s="48">
        <v>137</v>
      </c>
      <c r="J53" s="49">
        <v>81</v>
      </c>
      <c r="K53" s="50">
        <v>1</v>
      </c>
      <c r="L53" s="51">
        <f t="shared" si="1"/>
        <v>218</v>
      </c>
      <c r="M53" s="52">
        <f t="shared" si="2"/>
        <v>283</v>
      </c>
      <c r="N53" s="53">
        <f t="shared" si="3"/>
        <v>153</v>
      </c>
      <c r="O53" s="53">
        <f t="shared" si="4"/>
        <v>1</v>
      </c>
      <c r="P53" s="54">
        <f t="shared" si="5"/>
        <v>436</v>
      </c>
      <c r="Q53" s="55">
        <f>Q52</f>
        <v>879</v>
      </c>
      <c r="R53" s="159"/>
      <c r="S53" s="165"/>
      <c r="T53" s="165"/>
      <c r="U53" s="43">
        <f t="shared" ref="U53:V53" si="53">U52</f>
        <v>290</v>
      </c>
      <c r="V53" s="43">
        <f t="shared" si="53"/>
        <v>5</v>
      </c>
      <c r="W53" s="163"/>
      <c r="X53" s="43" t="s">
        <v>37</v>
      </c>
      <c r="Y53" s="163"/>
      <c r="Z53" s="43" t="str">
        <f>Z52</f>
        <v>R</v>
      </c>
      <c r="AA53" s="163"/>
      <c r="AB53" s="44" t="str">
        <f>AB52</f>
        <v>M</v>
      </c>
      <c r="AC53" s="168"/>
      <c r="AD53" s="168"/>
    </row>
    <row r="54" spans="1:30" ht="15.75" customHeight="1" x14ac:dyDescent="0.2">
      <c r="A54" s="158">
        <v>25</v>
      </c>
      <c r="B54" s="31">
        <f>A54</f>
        <v>25</v>
      </c>
      <c r="C54" s="72" t="s">
        <v>95</v>
      </c>
      <c r="D54" s="33" t="s">
        <v>73</v>
      </c>
      <c r="E54" s="34">
        <v>151</v>
      </c>
      <c r="F54" s="35">
        <v>71</v>
      </c>
      <c r="G54" s="36">
        <v>1</v>
      </c>
      <c r="H54" s="37">
        <f t="shared" si="0"/>
        <v>222</v>
      </c>
      <c r="I54" s="34">
        <v>161</v>
      </c>
      <c r="J54" s="35">
        <v>81</v>
      </c>
      <c r="K54" s="36">
        <v>0</v>
      </c>
      <c r="L54" s="37">
        <f t="shared" si="1"/>
        <v>242</v>
      </c>
      <c r="M54" s="38">
        <f t="shared" si="2"/>
        <v>312</v>
      </c>
      <c r="N54" s="39">
        <f t="shared" si="3"/>
        <v>152</v>
      </c>
      <c r="O54" s="64">
        <f t="shared" si="4"/>
        <v>1</v>
      </c>
      <c r="P54" s="65">
        <f t="shared" si="5"/>
        <v>464</v>
      </c>
      <c r="Q54" s="42">
        <f>IF(P54="","",SUM(P54+P55))</f>
        <v>894</v>
      </c>
      <c r="R54" s="166">
        <f>Q54</f>
        <v>894</v>
      </c>
      <c r="S54" s="164">
        <f>F54+J54+F55+J55</f>
        <v>295</v>
      </c>
      <c r="T54" s="164">
        <f>IF(O54="","",SUM(O54+O55))</f>
        <v>3</v>
      </c>
      <c r="U54" s="43">
        <f t="shared" ref="U54:V54" si="54">S54</f>
        <v>295</v>
      </c>
      <c r="V54" s="43">
        <f t="shared" si="54"/>
        <v>3</v>
      </c>
      <c r="W54" s="162" t="s">
        <v>45</v>
      </c>
      <c r="X54" s="43" t="s">
        <v>45</v>
      </c>
      <c r="Y54" s="162" t="s">
        <v>50</v>
      </c>
      <c r="Z54" s="43" t="str">
        <f>Y54</f>
        <v>R</v>
      </c>
      <c r="AA54" s="162" t="s">
        <v>39</v>
      </c>
      <c r="AB54" s="44" t="str">
        <f>IF(AA54="M", "M", IF(AA54="Ž", "Ž", IF(AA54="S", "S", "")))</f>
        <v>M</v>
      </c>
      <c r="AC54" s="168"/>
      <c r="AD54" s="168"/>
    </row>
    <row r="55" spans="1:30" ht="15.75" customHeight="1" x14ac:dyDescent="0.2">
      <c r="A55" s="159"/>
      <c r="B55" s="45">
        <f>A54</f>
        <v>25</v>
      </c>
      <c r="C55" s="67" t="s">
        <v>96</v>
      </c>
      <c r="D55" s="47" t="s">
        <v>73</v>
      </c>
      <c r="E55" s="48">
        <v>141</v>
      </c>
      <c r="F55" s="49">
        <v>54</v>
      </c>
      <c r="G55" s="50">
        <v>2</v>
      </c>
      <c r="H55" s="51">
        <f t="shared" si="0"/>
        <v>195</v>
      </c>
      <c r="I55" s="48">
        <v>146</v>
      </c>
      <c r="J55" s="49">
        <v>89</v>
      </c>
      <c r="K55" s="50">
        <v>0</v>
      </c>
      <c r="L55" s="51">
        <f t="shared" si="1"/>
        <v>235</v>
      </c>
      <c r="M55" s="52">
        <f t="shared" si="2"/>
        <v>287</v>
      </c>
      <c r="N55" s="53">
        <f t="shared" si="3"/>
        <v>143</v>
      </c>
      <c r="O55" s="53">
        <f t="shared" si="4"/>
        <v>2</v>
      </c>
      <c r="P55" s="54">
        <f t="shared" si="5"/>
        <v>430</v>
      </c>
      <c r="Q55" s="55">
        <f>Q54</f>
        <v>894</v>
      </c>
      <c r="R55" s="159"/>
      <c r="S55" s="165"/>
      <c r="T55" s="165"/>
      <c r="U55" s="43">
        <f t="shared" ref="U55:V55" si="55">U54</f>
        <v>295</v>
      </c>
      <c r="V55" s="43">
        <f t="shared" si="55"/>
        <v>3</v>
      </c>
      <c r="W55" s="163"/>
      <c r="X55" s="43" t="s">
        <v>45</v>
      </c>
      <c r="Y55" s="163"/>
      <c r="Z55" s="43" t="str">
        <f>Z54</f>
        <v>R</v>
      </c>
      <c r="AA55" s="163"/>
      <c r="AB55" s="44" t="str">
        <f>AB54</f>
        <v>M</v>
      </c>
      <c r="AC55" s="168"/>
      <c r="AD55" s="168"/>
    </row>
    <row r="56" spans="1:30" ht="15.75" customHeight="1" x14ac:dyDescent="0.2">
      <c r="A56" s="158">
        <v>26</v>
      </c>
      <c r="B56" s="31">
        <f>A56</f>
        <v>26</v>
      </c>
      <c r="C56" s="72" t="s">
        <v>97</v>
      </c>
      <c r="D56" s="58" t="s">
        <v>98</v>
      </c>
      <c r="E56" s="34">
        <v>131</v>
      </c>
      <c r="F56" s="35">
        <v>53</v>
      </c>
      <c r="G56" s="36">
        <v>5</v>
      </c>
      <c r="H56" s="37">
        <f t="shared" si="0"/>
        <v>184</v>
      </c>
      <c r="I56" s="34">
        <v>143</v>
      </c>
      <c r="J56" s="35">
        <v>53</v>
      </c>
      <c r="K56" s="36">
        <v>7</v>
      </c>
      <c r="L56" s="37">
        <f t="shared" si="1"/>
        <v>196</v>
      </c>
      <c r="M56" s="38">
        <f t="shared" si="2"/>
        <v>274</v>
      </c>
      <c r="N56" s="39">
        <f t="shared" si="3"/>
        <v>106</v>
      </c>
      <c r="O56" s="64">
        <f t="shared" si="4"/>
        <v>12</v>
      </c>
      <c r="P56" s="65">
        <f t="shared" si="5"/>
        <v>380</v>
      </c>
      <c r="Q56" s="42">
        <f>IF(P56="","",SUM(P56+P57))</f>
        <v>784</v>
      </c>
      <c r="R56" s="166">
        <f>Q56</f>
        <v>784</v>
      </c>
      <c r="S56" s="164">
        <f>F56+J56+F57+J57</f>
        <v>229</v>
      </c>
      <c r="T56" s="164">
        <f>IF(O56="","",SUM(O56+O57))</f>
        <v>19</v>
      </c>
      <c r="U56" s="43">
        <f t="shared" ref="U56:V56" si="56">S56</f>
        <v>229</v>
      </c>
      <c r="V56" s="43">
        <f t="shared" si="56"/>
        <v>19</v>
      </c>
      <c r="W56" s="162" t="s">
        <v>37</v>
      </c>
      <c r="X56" s="43" t="s">
        <v>37</v>
      </c>
      <c r="Y56" s="162" t="s">
        <v>50</v>
      </c>
      <c r="Z56" s="43" t="str">
        <f>Y56</f>
        <v>R</v>
      </c>
      <c r="AA56" s="162" t="s">
        <v>39</v>
      </c>
      <c r="AB56" s="44" t="str">
        <f>IF(AA56="M", "M", IF(AA56="Ž", "Ž", IF(AA56="S", "S", "")))</f>
        <v>M</v>
      </c>
      <c r="AC56" s="168"/>
      <c r="AD56" s="168"/>
    </row>
    <row r="57" spans="1:30" ht="15.75" customHeight="1" x14ac:dyDescent="0.2">
      <c r="A57" s="159"/>
      <c r="B57" s="45">
        <f>A56</f>
        <v>26</v>
      </c>
      <c r="C57" s="67" t="s">
        <v>99</v>
      </c>
      <c r="D57" s="47" t="s">
        <v>98</v>
      </c>
      <c r="E57" s="48">
        <v>134</v>
      </c>
      <c r="F57" s="49">
        <v>61</v>
      </c>
      <c r="G57" s="50">
        <v>4</v>
      </c>
      <c r="H57" s="51">
        <f t="shared" si="0"/>
        <v>195</v>
      </c>
      <c r="I57" s="48">
        <v>147</v>
      </c>
      <c r="J57" s="49">
        <v>62</v>
      </c>
      <c r="K57" s="50">
        <v>3</v>
      </c>
      <c r="L57" s="51">
        <f t="shared" si="1"/>
        <v>209</v>
      </c>
      <c r="M57" s="52">
        <f t="shared" si="2"/>
        <v>281</v>
      </c>
      <c r="N57" s="53">
        <f t="shared" si="3"/>
        <v>123</v>
      </c>
      <c r="O57" s="53">
        <f t="shared" si="4"/>
        <v>7</v>
      </c>
      <c r="P57" s="54">
        <f t="shared" si="5"/>
        <v>404</v>
      </c>
      <c r="Q57" s="55">
        <f>Q56</f>
        <v>784</v>
      </c>
      <c r="R57" s="159"/>
      <c r="S57" s="165"/>
      <c r="T57" s="165"/>
      <c r="U57" s="43">
        <f t="shared" ref="U57:V57" si="57">U56</f>
        <v>229</v>
      </c>
      <c r="V57" s="43">
        <f t="shared" si="57"/>
        <v>19</v>
      </c>
      <c r="W57" s="163"/>
      <c r="X57" s="43" t="s">
        <v>37</v>
      </c>
      <c r="Y57" s="163"/>
      <c r="Z57" s="43" t="str">
        <f>Z56</f>
        <v>R</v>
      </c>
      <c r="AA57" s="163"/>
      <c r="AB57" s="44" t="str">
        <f>AB56</f>
        <v>M</v>
      </c>
      <c r="AC57" s="168"/>
      <c r="AD57" s="168"/>
    </row>
    <row r="58" spans="1:30" ht="15.75" customHeight="1" x14ac:dyDescent="0.2">
      <c r="A58" s="158">
        <v>27</v>
      </c>
      <c r="B58" s="31">
        <f>A58</f>
        <v>27</v>
      </c>
      <c r="C58" s="68" t="s">
        <v>100</v>
      </c>
      <c r="D58" s="58" t="s">
        <v>98</v>
      </c>
      <c r="E58" s="34">
        <v>127</v>
      </c>
      <c r="F58" s="35">
        <v>31</v>
      </c>
      <c r="G58" s="36">
        <v>11</v>
      </c>
      <c r="H58" s="37">
        <f t="shared" si="0"/>
        <v>158</v>
      </c>
      <c r="I58" s="34">
        <v>124</v>
      </c>
      <c r="J58" s="35">
        <v>43</v>
      </c>
      <c r="K58" s="36">
        <v>8</v>
      </c>
      <c r="L58" s="37">
        <f t="shared" si="1"/>
        <v>167</v>
      </c>
      <c r="M58" s="38">
        <f t="shared" si="2"/>
        <v>251</v>
      </c>
      <c r="N58" s="39">
        <f t="shared" si="3"/>
        <v>74</v>
      </c>
      <c r="O58" s="64">
        <f t="shared" si="4"/>
        <v>19</v>
      </c>
      <c r="P58" s="65">
        <f t="shared" si="5"/>
        <v>325</v>
      </c>
      <c r="Q58" s="42">
        <f>IF(P58="","",SUM(P58+P59))</f>
        <v>757</v>
      </c>
      <c r="R58" s="166">
        <f>Q58</f>
        <v>757</v>
      </c>
      <c r="S58" s="164">
        <f>F58+J58+F59+J59</f>
        <v>200</v>
      </c>
      <c r="T58" s="164">
        <f>IF(O58="","",SUM(O58+O59))</f>
        <v>20</v>
      </c>
      <c r="U58" s="43">
        <f t="shared" ref="U58:V58" si="58">S58</f>
        <v>200</v>
      </c>
      <c r="V58" s="43">
        <f t="shared" si="58"/>
        <v>20</v>
      </c>
      <c r="W58" s="162" t="s">
        <v>37</v>
      </c>
      <c r="X58" s="43" t="s">
        <v>37</v>
      </c>
      <c r="Y58" s="162" t="s">
        <v>50</v>
      </c>
      <c r="Z58" s="43" t="str">
        <f>Y58</f>
        <v>R</v>
      </c>
      <c r="AA58" s="162" t="s">
        <v>46</v>
      </c>
      <c r="AB58" s="44" t="str">
        <f>IF(AA58="M", "M", IF(AA58="Ž", "Ž", IF(AA58="S", "S", "")))</f>
        <v>S</v>
      </c>
      <c r="AC58" s="168"/>
      <c r="AD58" s="168"/>
    </row>
    <row r="59" spans="1:30" ht="15.75" customHeight="1" x14ac:dyDescent="0.2">
      <c r="A59" s="159"/>
      <c r="B59" s="45">
        <f>A58</f>
        <v>27</v>
      </c>
      <c r="C59" s="67" t="s">
        <v>101</v>
      </c>
      <c r="D59" s="47" t="s">
        <v>98</v>
      </c>
      <c r="E59" s="48">
        <v>155</v>
      </c>
      <c r="F59" s="49">
        <v>63</v>
      </c>
      <c r="G59" s="50">
        <v>0</v>
      </c>
      <c r="H59" s="51">
        <f t="shared" si="0"/>
        <v>218</v>
      </c>
      <c r="I59" s="48">
        <v>151</v>
      </c>
      <c r="J59" s="49">
        <v>63</v>
      </c>
      <c r="K59" s="50">
        <v>1</v>
      </c>
      <c r="L59" s="51">
        <f t="shared" si="1"/>
        <v>214</v>
      </c>
      <c r="M59" s="52">
        <f t="shared" si="2"/>
        <v>306</v>
      </c>
      <c r="N59" s="53">
        <f t="shared" si="3"/>
        <v>126</v>
      </c>
      <c r="O59" s="53">
        <f t="shared" si="4"/>
        <v>1</v>
      </c>
      <c r="P59" s="54">
        <f t="shared" si="5"/>
        <v>432</v>
      </c>
      <c r="Q59" s="55">
        <f>Q58</f>
        <v>757</v>
      </c>
      <c r="R59" s="159"/>
      <c r="S59" s="165"/>
      <c r="T59" s="165"/>
      <c r="U59" s="43">
        <f t="shared" ref="U59:V59" si="59">U58</f>
        <v>200</v>
      </c>
      <c r="V59" s="43">
        <f t="shared" si="59"/>
        <v>20</v>
      </c>
      <c r="W59" s="163"/>
      <c r="X59" s="43" t="s">
        <v>37</v>
      </c>
      <c r="Y59" s="163"/>
      <c r="Z59" s="43" t="str">
        <f>Z58</f>
        <v>R</v>
      </c>
      <c r="AA59" s="163"/>
      <c r="AB59" s="44" t="str">
        <f>AB58</f>
        <v>S</v>
      </c>
      <c r="AC59" s="168"/>
      <c r="AD59" s="168"/>
    </row>
    <row r="60" spans="1:30" ht="15.75" customHeight="1" x14ac:dyDescent="0.2">
      <c r="A60" s="158">
        <v>28</v>
      </c>
      <c r="B60" s="31">
        <f>A60</f>
        <v>28</v>
      </c>
      <c r="C60" s="68" t="s">
        <v>102</v>
      </c>
      <c r="D60" s="58" t="s">
        <v>103</v>
      </c>
      <c r="E60" s="34">
        <v>105</v>
      </c>
      <c r="F60" s="35">
        <v>43</v>
      </c>
      <c r="G60" s="36">
        <v>9</v>
      </c>
      <c r="H60" s="37">
        <f t="shared" si="0"/>
        <v>148</v>
      </c>
      <c r="I60" s="34">
        <v>118</v>
      </c>
      <c r="J60" s="35">
        <v>35</v>
      </c>
      <c r="K60" s="36">
        <v>9</v>
      </c>
      <c r="L60" s="37">
        <f t="shared" si="1"/>
        <v>153</v>
      </c>
      <c r="M60" s="38">
        <f t="shared" si="2"/>
        <v>223</v>
      </c>
      <c r="N60" s="39">
        <f t="shared" si="3"/>
        <v>78</v>
      </c>
      <c r="O60" s="64">
        <f t="shared" si="4"/>
        <v>18</v>
      </c>
      <c r="P60" s="65">
        <f t="shared" si="5"/>
        <v>301</v>
      </c>
      <c r="Q60" s="42">
        <f>IF(P60="","",SUM(P60+P61))</f>
        <v>633</v>
      </c>
      <c r="R60" s="166">
        <f>Q60</f>
        <v>633</v>
      </c>
      <c r="S60" s="164">
        <f>F60+J60+F61+J61</f>
        <v>177</v>
      </c>
      <c r="T60" s="164">
        <f>IF(O60="","",SUM(O60+O61))</f>
        <v>37</v>
      </c>
      <c r="U60" s="43">
        <f t="shared" ref="U60:V60" si="60">S60</f>
        <v>177</v>
      </c>
      <c r="V60" s="43">
        <f t="shared" si="60"/>
        <v>37</v>
      </c>
      <c r="W60" s="162" t="s">
        <v>45</v>
      </c>
      <c r="X60" s="43" t="s">
        <v>45</v>
      </c>
      <c r="Y60" s="162" t="s">
        <v>38</v>
      </c>
      <c r="Z60" s="43" t="str">
        <f>Y60</f>
        <v>N</v>
      </c>
      <c r="AA60" s="162" t="s">
        <v>69</v>
      </c>
      <c r="AB60" s="44" t="str">
        <f>IF(AA60="M", "M", IF(AA60="Ž", "Ž", IF(AA60="S", "S", "")))</f>
        <v>Ž</v>
      </c>
      <c r="AC60" s="168"/>
      <c r="AD60" s="168"/>
    </row>
    <row r="61" spans="1:30" ht="15.75" customHeight="1" x14ac:dyDescent="0.2">
      <c r="A61" s="159"/>
      <c r="B61" s="45">
        <f>A60</f>
        <v>28</v>
      </c>
      <c r="C61" s="67" t="s">
        <v>104</v>
      </c>
      <c r="D61" s="47" t="s">
        <v>103</v>
      </c>
      <c r="E61" s="48">
        <v>107</v>
      </c>
      <c r="F61" s="49">
        <v>63</v>
      </c>
      <c r="G61" s="50">
        <v>7</v>
      </c>
      <c r="H61" s="51">
        <f t="shared" si="0"/>
        <v>170</v>
      </c>
      <c r="I61" s="48">
        <v>126</v>
      </c>
      <c r="J61" s="49">
        <v>36</v>
      </c>
      <c r="K61" s="50">
        <v>12</v>
      </c>
      <c r="L61" s="51">
        <f t="shared" si="1"/>
        <v>162</v>
      </c>
      <c r="M61" s="52">
        <f t="shared" si="2"/>
        <v>233</v>
      </c>
      <c r="N61" s="53">
        <f t="shared" si="3"/>
        <v>99</v>
      </c>
      <c r="O61" s="53">
        <f t="shared" si="4"/>
        <v>19</v>
      </c>
      <c r="P61" s="54">
        <f t="shared" si="5"/>
        <v>332</v>
      </c>
      <c r="Q61" s="55">
        <f>Q60</f>
        <v>633</v>
      </c>
      <c r="R61" s="159"/>
      <c r="S61" s="165"/>
      <c r="T61" s="165"/>
      <c r="U61" s="43">
        <f t="shared" ref="U61:V61" si="61">U60</f>
        <v>177</v>
      </c>
      <c r="V61" s="43">
        <f t="shared" si="61"/>
        <v>37</v>
      </c>
      <c r="W61" s="163"/>
      <c r="X61" s="43" t="s">
        <v>45</v>
      </c>
      <c r="Y61" s="163"/>
      <c r="Z61" s="43" t="str">
        <f>Z60</f>
        <v>N</v>
      </c>
      <c r="AA61" s="163"/>
      <c r="AB61" s="44" t="str">
        <f>AB60</f>
        <v>Ž</v>
      </c>
      <c r="AC61" s="168"/>
      <c r="AD61" s="168"/>
    </row>
    <row r="62" spans="1:30" ht="15.75" customHeight="1" x14ac:dyDescent="0.2">
      <c r="A62" s="158">
        <v>29</v>
      </c>
      <c r="B62" s="31">
        <f>A62</f>
        <v>29</v>
      </c>
      <c r="C62" s="68" t="s">
        <v>70</v>
      </c>
      <c r="D62" s="58" t="s">
        <v>49</v>
      </c>
      <c r="E62" s="34">
        <v>141</v>
      </c>
      <c r="F62" s="35">
        <v>71</v>
      </c>
      <c r="G62" s="36">
        <v>3</v>
      </c>
      <c r="H62" s="37">
        <f t="shared" si="0"/>
        <v>212</v>
      </c>
      <c r="I62" s="34">
        <v>142</v>
      </c>
      <c r="J62" s="35">
        <v>68</v>
      </c>
      <c r="K62" s="36">
        <v>1</v>
      </c>
      <c r="L62" s="37">
        <f t="shared" si="1"/>
        <v>210</v>
      </c>
      <c r="M62" s="38">
        <f t="shared" si="2"/>
        <v>283</v>
      </c>
      <c r="N62" s="39">
        <f t="shared" si="3"/>
        <v>139</v>
      </c>
      <c r="O62" s="64">
        <f t="shared" si="4"/>
        <v>4</v>
      </c>
      <c r="P62" s="65">
        <f t="shared" si="5"/>
        <v>422</v>
      </c>
      <c r="Q62" s="42">
        <f>IF(P62="","",SUM(P62+P63))</f>
        <v>866</v>
      </c>
      <c r="R62" s="166">
        <f>Q62</f>
        <v>866</v>
      </c>
      <c r="S62" s="164">
        <f>F62+J62+F63+J63</f>
        <v>280</v>
      </c>
      <c r="T62" s="164">
        <f>IF(O62="","",SUM(O62+O63))</f>
        <v>6</v>
      </c>
      <c r="U62" s="43">
        <f t="shared" ref="U62:V62" si="62">S62</f>
        <v>280</v>
      </c>
      <c r="V62" s="43">
        <f t="shared" si="62"/>
        <v>6</v>
      </c>
      <c r="W62" s="162" t="s">
        <v>45</v>
      </c>
      <c r="X62" s="43" t="s">
        <v>45</v>
      </c>
      <c r="Y62" s="162" t="s">
        <v>50</v>
      </c>
      <c r="Z62" s="43" t="str">
        <f>Y62</f>
        <v>R</v>
      </c>
      <c r="AA62" s="162" t="s">
        <v>46</v>
      </c>
      <c r="AB62" s="44" t="str">
        <f>IF(AA62="M", "M", IF(AA62="Ž", "Ž", IF(AA62="S", "S", "")))</f>
        <v>S</v>
      </c>
      <c r="AC62" s="168"/>
      <c r="AD62" s="168"/>
    </row>
    <row r="63" spans="1:30" ht="15.75" customHeight="1" x14ac:dyDescent="0.2">
      <c r="A63" s="159"/>
      <c r="B63" s="45">
        <f>A62</f>
        <v>29</v>
      </c>
      <c r="C63" s="67" t="s">
        <v>105</v>
      </c>
      <c r="D63" s="47" t="s">
        <v>49</v>
      </c>
      <c r="E63" s="48">
        <v>155</v>
      </c>
      <c r="F63" s="49">
        <v>71</v>
      </c>
      <c r="G63" s="50">
        <v>1</v>
      </c>
      <c r="H63" s="51">
        <f t="shared" si="0"/>
        <v>226</v>
      </c>
      <c r="I63" s="48">
        <v>148</v>
      </c>
      <c r="J63" s="49">
        <v>70</v>
      </c>
      <c r="K63" s="50">
        <v>1</v>
      </c>
      <c r="L63" s="51">
        <f t="shared" si="1"/>
        <v>218</v>
      </c>
      <c r="M63" s="52">
        <f t="shared" si="2"/>
        <v>303</v>
      </c>
      <c r="N63" s="53">
        <f t="shared" si="3"/>
        <v>141</v>
      </c>
      <c r="O63" s="53">
        <f t="shared" si="4"/>
        <v>2</v>
      </c>
      <c r="P63" s="54">
        <f t="shared" si="5"/>
        <v>444</v>
      </c>
      <c r="Q63" s="55">
        <f>Q62</f>
        <v>866</v>
      </c>
      <c r="R63" s="159"/>
      <c r="S63" s="165"/>
      <c r="T63" s="165"/>
      <c r="U63" s="43">
        <f t="shared" ref="U63:V63" si="63">U62</f>
        <v>280</v>
      </c>
      <c r="V63" s="43">
        <f t="shared" si="63"/>
        <v>6</v>
      </c>
      <c r="W63" s="163"/>
      <c r="X63" s="43" t="s">
        <v>45</v>
      </c>
      <c r="Y63" s="163"/>
      <c r="Z63" s="43" t="str">
        <f>Z62</f>
        <v>R</v>
      </c>
      <c r="AA63" s="163"/>
      <c r="AB63" s="44" t="str">
        <f>AB62</f>
        <v>S</v>
      </c>
      <c r="AC63" s="168"/>
      <c r="AD63" s="168"/>
    </row>
    <row r="64" spans="1:30" ht="15.75" customHeight="1" x14ac:dyDescent="0.2">
      <c r="A64" s="158">
        <v>30</v>
      </c>
      <c r="B64" s="31">
        <f>A64</f>
        <v>30</v>
      </c>
      <c r="C64" s="68" t="s">
        <v>106</v>
      </c>
      <c r="D64" s="58" t="s">
        <v>107</v>
      </c>
      <c r="E64" s="34">
        <v>132</v>
      </c>
      <c r="F64" s="35">
        <v>50</v>
      </c>
      <c r="G64" s="36">
        <v>6</v>
      </c>
      <c r="H64" s="37">
        <f t="shared" si="0"/>
        <v>182</v>
      </c>
      <c r="I64" s="34">
        <v>141</v>
      </c>
      <c r="J64" s="35">
        <v>62</v>
      </c>
      <c r="K64" s="36">
        <v>3</v>
      </c>
      <c r="L64" s="37">
        <f t="shared" si="1"/>
        <v>203</v>
      </c>
      <c r="M64" s="38">
        <f t="shared" si="2"/>
        <v>273</v>
      </c>
      <c r="N64" s="39">
        <f t="shared" si="3"/>
        <v>112</v>
      </c>
      <c r="O64" s="64">
        <f t="shared" si="4"/>
        <v>9</v>
      </c>
      <c r="P64" s="65">
        <f t="shared" si="5"/>
        <v>385</v>
      </c>
      <c r="Q64" s="42">
        <f>IF(P64="","",SUM(P64+P65))</f>
        <v>729</v>
      </c>
      <c r="R64" s="166">
        <f>Q64</f>
        <v>729</v>
      </c>
      <c r="S64" s="164">
        <f>F64+J64+F65+J65</f>
        <v>218</v>
      </c>
      <c r="T64" s="164">
        <f>IF(O64="","",SUM(O64+O65))</f>
        <v>18</v>
      </c>
      <c r="U64" s="43">
        <f t="shared" ref="U64:V64" si="64">S64</f>
        <v>218</v>
      </c>
      <c r="V64" s="43">
        <f t="shared" si="64"/>
        <v>18</v>
      </c>
      <c r="W64" s="162" t="s">
        <v>45</v>
      </c>
      <c r="X64" s="43" t="s">
        <v>45</v>
      </c>
      <c r="Y64" s="162" t="s">
        <v>38</v>
      </c>
      <c r="Z64" s="43" t="str">
        <f>Y64</f>
        <v>N</v>
      </c>
      <c r="AA64" s="162" t="s">
        <v>39</v>
      </c>
      <c r="AB64" s="44" t="str">
        <f>IF(AA64="M", "M", IF(AA64="Ž", "Ž", IF(AA64="S", "S", "")))</f>
        <v>M</v>
      </c>
      <c r="AC64" s="168"/>
      <c r="AD64" s="168"/>
    </row>
    <row r="65" spans="1:30" ht="15.75" customHeight="1" x14ac:dyDescent="0.2">
      <c r="A65" s="159"/>
      <c r="B65" s="45">
        <f>A64</f>
        <v>30</v>
      </c>
      <c r="C65" s="67" t="s">
        <v>108</v>
      </c>
      <c r="D65" s="47" t="s">
        <v>107</v>
      </c>
      <c r="E65" s="48">
        <v>117</v>
      </c>
      <c r="F65" s="49">
        <v>52</v>
      </c>
      <c r="G65" s="50">
        <v>4</v>
      </c>
      <c r="H65" s="51">
        <f t="shared" si="0"/>
        <v>169</v>
      </c>
      <c r="I65" s="48">
        <v>121</v>
      </c>
      <c r="J65" s="49">
        <v>54</v>
      </c>
      <c r="K65" s="50">
        <v>5</v>
      </c>
      <c r="L65" s="51">
        <f t="shared" si="1"/>
        <v>175</v>
      </c>
      <c r="M65" s="52">
        <f t="shared" si="2"/>
        <v>238</v>
      </c>
      <c r="N65" s="53">
        <f t="shared" si="3"/>
        <v>106</v>
      </c>
      <c r="O65" s="53">
        <f t="shared" si="4"/>
        <v>9</v>
      </c>
      <c r="P65" s="54">
        <f t="shared" si="5"/>
        <v>344</v>
      </c>
      <c r="Q65" s="55">
        <f>Q64</f>
        <v>729</v>
      </c>
      <c r="R65" s="159"/>
      <c r="S65" s="165"/>
      <c r="T65" s="165"/>
      <c r="U65" s="43">
        <f t="shared" ref="U65:V65" si="65">U64</f>
        <v>218</v>
      </c>
      <c r="V65" s="43">
        <f t="shared" si="65"/>
        <v>18</v>
      </c>
      <c r="W65" s="163"/>
      <c r="X65" s="43" t="s">
        <v>45</v>
      </c>
      <c r="Y65" s="163"/>
      <c r="Z65" s="43" t="str">
        <f>Z64</f>
        <v>N</v>
      </c>
      <c r="AA65" s="163"/>
      <c r="AB65" s="44" t="str">
        <f>AB64</f>
        <v>M</v>
      </c>
      <c r="AC65" s="168"/>
      <c r="AD65" s="168"/>
    </row>
    <row r="66" spans="1:30" ht="15.75" customHeight="1" x14ac:dyDescent="0.2">
      <c r="A66" s="158">
        <v>31</v>
      </c>
      <c r="B66" s="31">
        <f>A66</f>
        <v>31</v>
      </c>
      <c r="C66" s="68" t="s">
        <v>109</v>
      </c>
      <c r="D66" s="58" t="s">
        <v>103</v>
      </c>
      <c r="E66" s="34">
        <v>125</v>
      </c>
      <c r="F66" s="35">
        <v>44</v>
      </c>
      <c r="G66" s="36">
        <v>10</v>
      </c>
      <c r="H66" s="37">
        <f t="shared" si="0"/>
        <v>169</v>
      </c>
      <c r="I66" s="34">
        <v>139</v>
      </c>
      <c r="J66" s="35">
        <v>34</v>
      </c>
      <c r="K66" s="36">
        <v>5</v>
      </c>
      <c r="L66" s="37">
        <f t="shared" si="1"/>
        <v>173</v>
      </c>
      <c r="M66" s="38">
        <f t="shared" si="2"/>
        <v>264</v>
      </c>
      <c r="N66" s="39">
        <f t="shared" si="3"/>
        <v>78</v>
      </c>
      <c r="O66" s="64">
        <f t="shared" si="4"/>
        <v>15</v>
      </c>
      <c r="P66" s="65">
        <f t="shared" si="5"/>
        <v>342</v>
      </c>
      <c r="Q66" s="42">
        <f>IF(P66="","",SUM(P66+P67))</f>
        <v>693</v>
      </c>
      <c r="R66" s="166">
        <f>Q66</f>
        <v>693</v>
      </c>
      <c r="S66" s="164">
        <f>F66+J66+F67+J67</f>
        <v>166</v>
      </c>
      <c r="T66" s="164">
        <f>IF(O66="","",SUM(O66+O67))</f>
        <v>32</v>
      </c>
      <c r="U66" s="43">
        <f t="shared" ref="U66:V66" si="66">S66</f>
        <v>166</v>
      </c>
      <c r="V66" s="43">
        <f t="shared" si="66"/>
        <v>32</v>
      </c>
      <c r="W66" s="162" t="s">
        <v>45</v>
      </c>
      <c r="X66" s="43" t="s">
        <v>45</v>
      </c>
      <c r="Y66" s="162" t="s">
        <v>38</v>
      </c>
      <c r="Z66" s="43" t="str">
        <f>Y66</f>
        <v>N</v>
      </c>
      <c r="AA66" s="162" t="s">
        <v>39</v>
      </c>
      <c r="AB66" s="44" t="str">
        <f>IF(AA66="M", "M", IF(AA66="Ž", "Ž", IF(AA66="S", "S", "")))</f>
        <v>M</v>
      </c>
      <c r="AC66" s="168"/>
      <c r="AD66" s="168"/>
    </row>
    <row r="67" spans="1:30" ht="15.75" customHeight="1" x14ac:dyDescent="0.2">
      <c r="A67" s="159"/>
      <c r="B67" s="45">
        <f>A66</f>
        <v>31</v>
      </c>
      <c r="C67" s="67" t="s">
        <v>110</v>
      </c>
      <c r="D67" s="47" t="s">
        <v>103</v>
      </c>
      <c r="E67" s="48">
        <v>126</v>
      </c>
      <c r="F67" s="49">
        <v>44</v>
      </c>
      <c r="G67" s="50">
        <v>8</v>
      </c>
      <c r="H67" s="51">
        <f t="shared" si="0"/>
        <v>170</v>
      </c>
      <c r="I67" s="48">
        <v>137</v>
      </c>
      <c r="J67" s="49">
        <v>44</v>
      </c>
      <c r="K67" s="50">
        <v>9</v>
      </c>
      <c r="L67" s="51">
        <f t="shared" si="1"/>
        <v>181</v>
      </c>
      <c r="M67" s="52">
        <f t="shared" si="2"/>
        <v>263</v>
      </c>
      <c r="N67" s="53">
        <f t="shared" si="3"/>
        <v>88</v>
      </c>
      <c r="O67" s="53">
        <f t="shared" si="4"/>
        <v>17</v>
      </c>
      <c r="P67" s="54">
        <f t="shared" si="5"/>
        <v>351</v>
      </c>
      <c r="Q67" s="55">
        <f>Q66</f>
        <v>693</v>
      </c>
      <c r="R67" s="159"/>
      <c r="S67" s="165"/>
      <c r="T67" s="165"/>
      <c r="U67" s="43">
        <f t="shared" ref="U67:V67" si="67">U66</f>
        <v>166</v>
      </c>
      <c r="V67" s="43">
        <f t="shared" si="67"/>
        <v>32</v>
      </c>
      <c r="W67" s="163"/>
      <c r="X67" s="43" t="s">
        <v>45</v>
      </c>
      <c r="Y67" s="163"/>
      <c r="Z67" s="43" t="str">
        <f>Z66</f>
        <v>N</v>
      </c>
      <c r="AA67" s="163"/>
      <c r="AB67" s="44" t="str">
        <f>AB66</f>
        <v>M</v>
      </c>
      <c r="AC67" s="168"/>
      <c r="AD67" s="168"/>
    </row>
    <row r="68" spans="1:30" ht="15.75" customHeight="1" x14ac:dyDescent="0.2">
      <c r="A68" s="158">
        <v>32</v>
      </c>
      <c r="B68" s="31">
        <f>A68</f>
        <v>32</v>
      </c>
      <c r="C68" s="68" t="s">
        <v>111</v>
      </c>
      <c r="D68" s="58" t="s">
        <v>112</v>
      </c>
      <c r="E68" s="34">
        <v>132</v>
      </c>
      <c r="F68" s="35">
        <v>71</v>
      </c>
      <c r="G68" s="36">
        <v>2</v>
      </c>
      <c r="H68" s="37">
        <f t="shared" si="0"/>
        <v>203</v>
      </c>
      <c r="I68" s="34">
        <v>144</v>
      </c>
      <c r="J68" s="35">
        <v>66</v>
      </c>
      <c r="K68" s="36">
        <v>4</v>
      </c>
      <c r="L68" s="37">
        <f t="shared" si="1"/>
        <v>210</v>
      </c>
      <c r="M68" s="38">
        <f t="shared" si="2"/>
        <v>276</v>
      </c>
      <c r="N68" s="39">
        <f t="shared" si="3"/>
        <v>137</v>
      </c>
      <c r="O68" s="64">
        <f t="shared" si="4"/>
        <v>6</v>
      </c>
      <c r="P68" s="65">
        <f t="shared" si="5"/>
        <v>413</v>
      </c>
      <c r="Q68" s="42">
        <f>IF(P68="","",SUM(P68+P69))</f>
        <v>703</v>
      </c>
      <c r="R68" s="166">
        <f>Q68</f>
        <v>703</v>
      </c>
      <c r="S68" s="164">
        <f>F68+J68+F69+J69</f>
        <v>212</v>
      </c>
      <c r="T68" s="164">
        <f>IF(O68="","",SUM(O68+O69))</f>
        <v>37</v>
      </c>
      <c r="U68" s="43">
        <f t="shared" ref="U68:V68" si="68">S68</f>
        <v>212</v>
      </c>
      <c r="V68" s="43">
        <f t="shared" si="68"/>
        <v>37</v>
      </c>
      <c r="W68" s="162" t="s">
        <v>45</v>
      </c>
      <c r="X68" s="43" t="s">
        <v>45</v>
      </c>
      <c r="Y68" s="162" t="s">
        <v>50</v>
      </c>
      <c r="Z68" s="43" t="str">
        <f>Y68</f>
        <v>R</v>
      </c>
      <c r="AA68" s="162" t="s">
        <v>46</v>
      </c>
      <c r="AB68" s="44" t="str">
        <f>IF(AA68="M", "M", IF(AA68="Ž", "Ž", IF(AA68="S", "S", "")))</f>
        <v>S</v>
      </c>
      <c r="AC68" s="168"/>
      <c r="AD68" s="168"/>
    </row>
    <row r="69" spans="1:30" ht="15.75" customHeight="1" x14ac:dyDescent="0.2">
      <c r="A69" s="159"/>
      <c r="B69" s="45">
        <f>A68</f>
        <v>32</v>
      </c>
      <c r="C69" s="67" t="s">
        <v>113</v>
      </c>
      <c r="D69" s="47" t="s">
        <v>112</v>
      </c>
      <c r="E69" s="48">
        <v>109</v>
      </c>
      <c r="F69" s="49">
        <v>53</v>
      </c>
      <c r="G69" s="50">
        <v>9</v>
      </c>
      <c r="H69" s="51">
        <f t="shared" si="0"/>
        <v>162</v>
      </c>
      <c r="I69" s="48">
        <v>106</v>
      </c>
      <c r="J69" s="49">
        <v>22</v>
      </c>
      <c r="K69" s="50">
        <v>22</v>
      </c>
      <c r="L69" s="51">
        <f t="shared" si="1"/>
        <v>128</v>
      </c>
      <c r="M69" s="52">
        <f t="shared" si="2"/>
        <v>215</v>
      </c>
      <c r="N69" s="53">
        <f t="shared" si="3"/>
        <v>75</v>
      </c>
      <c r="O69" s="53">
        <f t="shared" si="4"/>
        <v>31</v>
      </c>
      <c r="P69" s="54">
        <f t="shared" si="5"/>
        <v>290</v>
      </c>
      <c r="Q69" s="55">
        <f>Q68</f>
        <v>703</v>
      </c>
      <c r="R69" s="159"/>
      <c r="S69" s="165"/>
      <c r="T69" s="165"/>
      <c r="U69" s="43">
        <f t="shared" ref="U69:V69" si="69">U68</f>
        <v>212</v>
      </c>
      <c r="V69" s="43">
        <f t="shared" si="69"/>
        <v>37</v>
      </c>
      <c r="W69" s="163"/>
      <c r="X69" s="43" t="s">
        <v>45</v>
      </c>
      <c r="Y69" s="163"/>
      <c r="Z69" s="43" t="str">
        <f>Z68</f>
        <v>R</v>
      </c>
      <c r="AA69" s="163"/>
      <c r="AB69" s="44" t="str">
        <f>AB68</f>
        <v>S</v>
      </c>
      <c r="AC69" s="168"/>
      <c r="AD69" s="168"/>
    </row>
    <row r="70" spans="1:30" ht="15.75" customHeight="1" x14ac:dyDescent="0.2">
      <c r="A70" s="158">
        <v>33</v>
      </c>
      <c r="B70" s="31">
        <f>A70</f>
        <v>33</v>
      </c>
      <c r="C70" s="68" t="s">
        <v>79</v>
      </c>
      <c r="D70" s="58" t="s">
        <v>49</v>
      </c>
      <c r="E70" s="34">
        <v>131</v>
      </c>
      <c r="F70" s="35">
        <v>54</v>
      </c>
      <c r="G70" s="36">
        <v>5</v>
      </c>
      <c r="H70" s="37">
        <f t="shared" si="0"/>
        <v>185</v>
      </c>
      <c r="I70" s="34">
        <v>126</v>
      </c>
      <c r="J70" s="35">
        <v>61</v>
      </c>
      <c r="K70" s="36">
        <v>4</v>
      </c>
      <c r="L70" s="37">
        <f t="shared" si="1"/>
        <v>187</v>
      </c>
      <c r="M70" s="38">
        <f t="shared" si="2"/>
        <v>257</v>
      </c>
      <c r="N70" s="39">
        <f t="shared" si="3"/>
        <v>115</v>
      </c>
      <c r="O70" s="64">
        <f t="shared" si="4"/>
        <v>9</v>
      </c>
      <c r="P70" s="65">
        <f t="shared" si="5"/>
        <v>372</v>
      </c>
      <c r="Q70" s="42">
        <f>IF(P70="","",SUM(P70+P71))</f>
        <v>795</v>
      </c>
      <c r="R70" s="166">
        <f>Q70</f>
        <v>795</v>
      </c>
      <c r="S70" s="164">
        <f>F70+J70+F71+J71</f>
        <v>249</v>
      </c>
      <c r="T70" s="164">
        <f>IF(O70="","",SUM(O70+O71))</f>
        <v>13</v>
      </c>
      <c r="U70" s="43">
        <f t="shared" ref="U70:V70" si="70">S70</f>
        <v>249</v>
      </c>
      <c r="V70" s="43">
        <f t="shared" si="70"/>
        <v>13</v>
      </c>
      <c r="W70" s="162" t="s">
        <v>45</v>
      </c>
      <c r="X70" s="43" t="s">
        <v>45</v>
      </c>
      <c r="Y70" s="162" t="s">
        <v>50</v>
      </c>
      <c r="Z70" s="43" t="str">
        <f>Y70</f>
        <v>R</v>
      </c>
      <c r="AA70" s="162" t="s">
        <v>39</v>
      </c>
      <c r="AB70" s="44" t="str">
        <f>IF(AA70="M", "M", IF(AA70="Ž", "Ž", IF(AA70="S", "S", "")))</f>
        <v>M</v>
      </c>
      <c r="AC70" s="168"/>
      <c r="AD70" s="168"/>
    </row>
    <row r="71" spans="1:30" ht="15.75" customHeight="1" x14ac:dyDescent="0.2">
      <c r="A71" s="159"/>
      <c r="B71" s="45">
        <f>A70</f>
        <v>33</v>
      </c>
      <c r="C71" s="67" t="s">
        <v>81</v>
      </c>
      <c r="D71" s="47" t="s">
        <v>49</v>
      </c>
      <c r="E71" s="48">
        <v>147</v>
      </c>
      <c r="F71" s="49">
        <v>71</v>
      </c>
      <c r="G71" s="50">
        <v>3</v>
      </c>
      <c r="H71" s="51">
        <f t="shared" si="0"/>
        <v>218</v>
      </c>
      <c r="I71" s="48">
        <v>142</v>
      </c>
      <c r="J71" s="49">
        <v>63</v>
      </c>
      <c r="K71" s="50">
        <v>1</v>
      </c>
      <c r="L71" s="51">
        <f t="shared" si="1"/>
        <v>205</v>
      </c>
      <c r="M71" s="52">
        <f t="shared" si="2"/>
        <v>289</v>
      </c>
      <c r="N71" s="53">
        <f t="shared" si="3"/>
        <v>134</v>
      </c>
      <c r="O71" s="53">
        <f t="shared" si="4"/>
        <v>4</v>
      </c>
      <c r="P71" s="54">
        <f t="shared" si="5"/>
        <v>423</v>
      </c>
      <c r="Q71" s="55">
        <f>Q70</f>
        <v>795</v>
      </c>
      <c r="R71" s="159"/>
      <c r="S71" s="165"/>
      <c r="T71" s="165"/>
      <c r="U71" s="43">
        <f t="shared" ref="U71:V71" si="71">U70</f>
        <v>249</v>
      </c>
      <c r="V71" s="43">
        <f t="shared" si="71"/>
        <v>13</v>
      </c>
      <c r="W71" s="163"/>
      <c r="X71" s="43" t="s">
        <v>45</v>
      </c>
      <c r="Y71" s="163"/>
      <c r="Z71" s="43" t="str">
        <f>Z70</f>
        <v>R</v>
      </c>
      <c r="AA71" s="163"/>
      <c r="AB71" s="44" t="str">
        <f>AB70</f>
        <v>M</v>
      </c>
      <c r="AC71" s="168"/>
      <c r="AD71" s="168"/>
    </row>
    <row r="72" spans="1:30" ht="15.75" customHeight="1" x14ac:dyDescent="0.2">
      <c r="A72" s="158">
        <v>34</v>
      </c>
      <c r="B72" s="31">
        <f>A72</f>
        <v>34</v>
      </c>
      <c r="C72" s="73" t="s">
        <v>114</v>
      </c>
      <c r="D72" s="58" t="s">
        <v>115</v>
      </c>
      <c r="E72" s="34">
        <v>124</v>
      </c>
      <c r="F72" s="35">
        <v>44</v>
      </c>
      <c r="G72" s="36">
        <v>8</v>
      </c>
      <c r="H72" s="37">
        <f t="shared" si="0"/>
        <v>168</v>
      </c>
      <c r="I72" s="34">
        <v>130</v>
      </c>
      <c r="J72" s="35">
        <v>71</v>
      </c>
      <c r="K72" s="36">
        <v>3</v>
      </c>
      <c r="L72" s="37">
        <f t="shared" si="1"/>
        <v>201</v>
      </c>
      <c r="M72" s="38">
        <f t="shared" si="2"/>
        <v>254</v>
      </c>
      <c r="N72" s="39">
        <f t="shared" si="3"/>
        <v>115</v>
      </c>
      <c r="O72" s="64">
        <f t="shared" si="4"/>
        <v>11</v>
      </c>
      <c r="P72" s="71">
        <f t="shared" si="5"/>
        <v>369</v>
      </c>
      <c r="Q72" s="42">
        <f>IF(P72="","",SUM(P72+P73))</f>
        <v>733</v>
      </c>
      <c r="R72" s="166">
        <f>Q72</f>
        <v>733</v>
      </c>
      <c r="S72" s="164">
        <f>F72+J72+F73+J73</f>
        <v>222</v>
      </c>
      <c r="T72" s="164">
        <f>IF(O72="","",SUM(O72+O73))</f>
        <v>23</v>
      </c>
      <c r="U72" s="43">
        <f t="shared" ref="U72:V72" si="72">S72</f>
        <v>222</v>
      </c>
      <c r="V72" s="43">
        <f t="shared" si="72"/>
        <v>23</v>
      </c>
      <c r="W72" s="162" t="s">
        <v>45</v>
      </c>
      <c r="X72" s="43" t="s">
        <v>45</v>
      </c>
      <c r="Y72" s="162" t="s">
        <v>38</v>
      </c>
      <c r="Z72" s="43" t="str">
        <f>Y72</f>
        <v>N</v>
      </c>
      <c r="AA72" s="162" t="s">
        <v>39</v>
      </c>
      <c r="AB72" s="44" t="str">
        <f>IF(AA72="M", "M", IF(AA72="Ž", "Ž", IF(AA72="S", "S", "")))</f>
        <v>M</v>
      </c>
      <c r="AC72" s="168"/>
      <c r="AD72" s="168"/>
    </row>
    <row r="73" spans="1:30" ht="15.75" customHeight="1" x14ac:dyDescent="0.2">
      <c r="A73" s="159"/>
      <c r="B73" s="45">
        <f>A72</f>
        <v>34</v>
      </c>
      <c r="C73" s="67" t="s">
        <v>116</v>
      </c>
      <c r="D73" s="47" t="s">
        <v>115</v>
      </c>
      <c r="E73" s="48">
        <v>114</v>
      </c>
      <c r="F73" s="49">
        <v>45</v>
      </c>
      <c r="G73" s="50">
        <v>8</v>
      </c>
      <c r="H73" s="51">
        <f t="shared" si="0"/>
        <v>159</v>
      </c>
      <c r="I73" s="48">
        <v>143</v>
      </c>
      <c r="J73" s="49">
        <v>62</v>
      </c>
      <c r="K73" s="50">
        <v>4</v>
      </c>
      <c r="L73" s="51">
        <f t="shared" si="1"/>
        <v>205</v>
      </c>
      <c r="M73" s="52">
        <f t="shared" si="2"/>
        <v>257</v>
      </c>
      <c r="N73" s="53">
        <f t="shared" si="3"/>
        <v>107</v>
      </c>
      <c r="O73" s="53">
        <f t="shared" si="4"/>
        <v>12</v>
      </c>
      <c r="P73" s="54">
        <f t="shared" si="5"/>
        <v>364</v>
      </c>
      <c r="Q73" s="55">
        <f>Q72</f>
        <v>733</v>
      </c>
      <c r="R73" s="159"/>
      <c r="S73" s="165"/>
      <c r="T73" s="165"/>
      <c r="U73" s="43">
        <f t="shared" ref="U73:V73" si="73">U72</f>
        <v>222</v>
      </c>
      <c r="V73" s="43">
        <f t="shared" si="73"/>
        <v>23</v>
      </c>
      <c r="W73" s="163"/>
      <c r="X73" s="43" t="s">
        <v>45</v>
      </c>
      <c r="Y73" s="163"/>
      <c r="Z73" s="43" t="str">
        <f>Z72</f>
        <v>N</v>
      </c>
      <c r="AA73" s="163"/>
      <c r="AB73" s="44" t="str">
        <f>AB72</f>
        <v>M</v>
      </c>
      <c r="AC73" s="168"/>
      <c r="AD73" s="168"/>
    </row>
    <row r="74" spans="1:30" ht="15.75" customHeight="1" x14ac:dyDescent="0.2">
      <c r="A74" s="158">
        <v>35</v>
      </c>
      <c r="B74" s="31">
        <f>A74</f>
        <v>35</v>
      </c>
      <c r="C74" s="68" t="s">
        <v>117</v>
      </c>
      <c r="D74" s="33" t="s">
        <v>118</v>
      </c>
      <c r="E74" s="34">
        <v>139</v>
      </c>
      <c r="F74" s="35">
        <v>61</v>
      </c>
      <c r="G74" s="36">
        <v>2</v>
      </c>
      <c r="H74" s="37">
        <f t="shared" si="0"/>
        <v>200</v>
      </c>
      <c r="I74" s="34">
        <v>144</v>
      </c>
      <c r="J74" s="35">
        <v>53</v>
      </c>
      <c r="K74" s="36">
        <v>5</v>
      </c>
      <c r="L74" s="37">
        <f t="shared" si="1"/>
        <v>197</v>
      </c>
      <c r="M74" s="38">
        <f t="shared" si="2"/>
        <v>283</v>
      </c>
      <c r="N74" s="39">
        <f t="shared" si="3"/>
        <v>114</v>
      </c>
      <c r="O74" s="64">
        <f t="shared" si="4"/>
        <v>7</v>
      </c>
      <c r="P74" s="65">
        <f t="shared" si="5"/>
        <v>397</v>
      </c>
      <c r="Q74" s="42">
        <f>IF(P74="","",SUM(P74+P75))</f>
        <v>801</v>
      </c>
      <c r="R74" s="166">
        <f>Q74</f>
        <v>801</v>
      </c>
      <c r="S74" s="164">
        <f>F74+J74+F75+J75</f>
        <v>228</v>
      </c>
      <c r="T74" s="164">
        <f>IF(O74="","",SUM(O74+O75))</f>
        <v>14</v>
      </c>
      <c r="U74" s="43">
        <f t="shared" ref="U74:V74" si="74">S74</f>
        <v>228</v>
      </c>
      <c r="V74" s="43">
        <f t="shared" si="74"/>
        <v>14</v>
      </c>
      <c r="W74" s="162" t="s">
        <v>45</v>
      </c>
      <c r="X74" s="43" t="s">
        <v>45</v>
      </c>
      <c r="Y74" s="162" t="s">
        <v>50</v>
      </c>
      <c r="Z74" s="43" t="str">
        <f>Y74</f>
        <v>R</v>
      </c>
      <c r="AA74" s="162" t="s">
        <v>39</v>
      </c>
      <c r="AB74" s="44" t="str">
        <f>IF(AA74="M", "M", IF(AA74="Ž", "Ž", IF(AA74="S", "S", "")))</f>
        <v>M</v>
      </c>
      <c r="AC74" s="168"/>
      <c r="AD74" s="168"/>
    </row>
    <row r="75" spans="1:30" ht="15.75" customHeight="1" x14ac:dyDescent="0.2">
      <c r="A75" s="159"/>
      <c r="B75" s="45">
        <f>A74</f>
        <v>35</v>
      </c>
      <c r="C75" s="67" t="s">
        <v>119</v>
      </c>
      <c r="D75" s="47" t="s">
        <v>118</v>
      </c>
      <c r="E75" s="48">
        <v>147</v>
      </c>
      <c r="F75" s="49">
        <v>54</v>
      </c>
      <c r="G75" s="50">
        <v>3</v>
      </c>
      <c r="H75" s="51">
        <f t="shared" si="0"/>
        <v>201</v>
      </c>
      <c r="I75" s="48">
        <v>143</v>
      </c>
      <c r="J75" s="49">
        <v>60</v>
      </c>
      <c r="K75" s="50">
        <v>4</v>
      </c>
      <c r="L75" s="51">
        <f t="shared" si="1"/>
        <v>203</v>
      </c>
      <c r="M75" s="52">
        <f t="shared" si="2"/>
        <v>290</v>
      </c>
      <c r="N75" s="53">
        <f t="shared" si="3"/>
        <v>114</v>
      </c>
      <c r="O75" s="53">
        <f t="shared" si="4"/>
        <v>7</v>
      </c>
      <c r="P75" s="54">
        <f t="shared" si="5"/>
        <v>404</v>
      </c>
      <c r="Q75" s="55">
        <f>Q74</f>
        <v>801</v>
      </c>
      <c r="R75" s="159"/>
      <c r="S75" s="165"/>
      <c r="T75" s="165"/>
      <c r="U75" s="43">
        <f t="shared" ref="U75:V75" si="75">U74</f>
        <v>228</v>
      </c>
      <c r="V75" s="43">
        <f t="shared" si="75"/>
        <v>14</v>
      </c>
      <c r="W75" s="163"/>
      <c r="X75" s="43" t="s">
        <v>45</v>
      </c>
      <c r="Y75" s="163"/>
      <c r="Z75" s="43" t="str">
        <f>Z74</f>
        <v>R</v>
      </c>
      <c r="AA75" s="163"/>
      <c r="AB75" s="44" t="str">
        <f>AB74</f>
        <v>M</v>
      </c>
      <c r="AC75" s="168"/>
      <c r="AD75" s="168"/>
    </row>
    <row r="76" spans="1:30" ht="15.75" customHeight="1" x14ac:dyDescent="0.2">
      <c r="A76" s="158">
        <v>36</v>
      </c>
      <c r="B76" s="31">
        <f>A76</f>
        <v>36</v>
      </c>
      <c r="C76" s="68" t="s">
        <v>120</v>
      </c>
      <c r="D76" s="33" t="s">
        <v>118</v>
      </c>
      <c r="E76" s="34">
        <v>126</v>
      </c>
      <c r="F76" s="35">
        <v>43</v>
      </c>
      <c r="G76" s="36">
        <v>10</v>
      </c>
      <c r="H76" s="37">
        <f t="shared" si="0"/>
        <v>169</v>
      </c>
      <c r="I76" s="34">
        <v>120</v>
      </c>
      <c r="J76" s="35">
        <v>60</v>
      </c>
      <c r="K76" s="36">
        <v>6</v>
      </c>
      <c r="L76" s="37">
        <f t="shared" si="1"/>
        <v>180</v>
      </c>
      <c r="M76" s="38">
        <f t="shared" si="2"/>
        <v>246</v>
      </c>
      <c r="N76" s="39">
        <f t="shared" si="3"/>
        <v>103</v>
      </c>
      <c r="O76" s="64">
        <f t="shared" si="4"/>
        <v>16</v>
      </c>
      <c r="P76" s="65">
        <f t="shared" si="5"/>
        <v>349</v>
      </c>
      <c r="Q76" s="42">
        <f>IF(P76="","",SUM(P76+P77))</f>
        <v>719</v>
      </c>
      <c r="R76" s="166">
        <f>Q76</f>
        <v>719</v>
      </c>
      <c r="S76" s="164">
        <f>F76+J76+F77+J77</f>
        <v>214</v>
      </c>
      <c r="T76" s="164">
        <f>IF(O76="","",SUM(O76+O77))</f>
        <v>28</v>
      </c>
      <c r="U76" s="43">
        <f t="shared" ref="U76:V76" si="76">S76</f>
        <v>214</v>
      </c>
      <c r="V76" s="43">
        <f t="shared" si="76"/>
        <v>28</v>
      </c>
      <c r="W76" s="162" t="s">
        <v>45</v>
      </c>
      <c r="X76" s="43" t="s">
        <v>45</v>
      </c>
      <c r="Y76" s="162" t="s">
        <v>50</v>
      </c>
      <c r="Z76" s="43" t="str">
        <f>Y76</f>
        <v>R</v>
      </c>
      <c r="AA76" s="162" t="s">
        <v>39</v>
      </c>
      <c r="AB76" s="44" t="str">
        <f>IF(AA76="M", "M", IF(AA76="Ž", "Ž", IF(AA76="S", "S", "")))</f>
        <v>M</v>
      </c>
      <c r="AC76" s="168"/>
      <c r="AD76" s="168"/>
    </row>
    <row r="77" spans="1:30" ht="15.75" customHeight="1" x14ac:dyDescent="0.2">
      <c r="A77" s="159"/>
      <c r="B77" s="45">
        <f>A76</f>
        <v>36</v>
      </c>
      <c r="C77" s="67" t="s">
        <v>121</v>
      </c>
      <c r="D77" s="47" t="s">
        <v>118</v>
      </c>
      <c r="E77" s="48">
        <v>130</v>
      </c>
      <c r="F77" s="49">
        <v>44</v>
      </c>
      <c r="G77" s="50">
        <v>7</v>
      </c>
      <c r="H77" s="51">
        <f t="shared" si="0"/>
        <v>174</v>
      </c>
      <c r="I77" s="48">
        <v>129</v>
      </c>
      <c r="J77" s="49">
        <v>67</v>
      </c>
      <c r="K77" s="50">
        <v>5</v>
      </c>
      <c r="L77" s="51">
        <f t="shared" si="1"/>
        <v>196</v>
      </c>
      <c r="M77" s="52">
        <f t="shared" si="2"/>
        <v>259</v>
      </c>
      <c r="N77" s="53">
        <f t="shared" si="3"/>
        <v>111</v>
      </c>
      <c r="O77" s="53">
        <f t="shared" si="4"/>
        <v>12</v>
      </c>
      <c r="P77" s="54">
        <f t="shared" si="5"/>
        <v>370</v>
      </c>
      <c r="Q77" s="55">
        <f>Q76</f>
        <v>719</v>
      </c>
      <c r="R77" s="159"/>
      <c r="S77" s="165"/>
      <c r="T77" s="165"/>
      <c r="U77" s="43">
        <f t="shared" ref="U77:V77" si="77">U76</f>
        <v>214</v>
      </c>
      <c r="V77" s="43">
        <f t="shared" si="77"/>
        <v>28</v>
      </c>
      <c r="W77" s="163"/>
      <c r="X77" s="43" t="s">
        <v>45</v>
      </c>
      <c r="Y77" s="163"/>
      <c r="Z77" s="43" t="str">
        <f>Z76</f>
        <v>R</v>
      </c>
      <c r="AA77" s="163"/>
      <c r="AB77" s="44" t="str">
        <f>AB76</f>
        <v>M</v>
      </c>
      <c r="AC77" s="168"/>
      <c r="AD77" s="168"/>
    </row>
    <row r="78" spans="1:30" ht="18" customHeight="1" x14ac:dyDescent="0.2">
      <c r="A78" s="158">
        <v>37</v>
      </c>
      <c r="B78" s="31">
        <f>A78</f>
        <v>37</v>
      </c>
      <c r="C78" s="68" t="s">
        <v>122</v>
      </c>
      <c r="D78" s="33" t="s">
        <v>123</v>
      </c>
      <c r="E78" s="34">
        <v>138</v>
      </c>
      <c r="F78" s="35">
        <v>52</v>
      </c>
      <c r="G78" s="36">
        <v>3</v>
      </c>
      <c r="H78" s="37">
        <f t="shared" si="0"/>
        <v>190</v>
      </c>
      <c r="I78" s="34">
        <v>143</v>
      </c>
      <c r="J78" s="35">
        <v>63</v>
      </c>
      <c r="K78" s="36">
        <v>2</v>
      </c>
      <c r="L78" s="37">
        <f t="shared" si="1"/>
        <v>206</v>
      </c>
      <c r="M78" s="38">
        <f t="shared" si="2"/>
        <v>281</v>
      </c>
      <c r="N78" s="39">
        <f t="shared" si="3"/>
        <v>115</v>
      </c>
      <c r="O78" s="64">
        <f t="shared" si="4"/>
        <v>5</v>
      </c>
      <c r="P78" s="65">
        <f t="shared" si="5"/>
        <v>396</v>
      </c>
      <c r="Q78" s="42">
        <f>IF(P78="","",SUM(P78+P79))</f>
        <v>770</v>
      </c>
      <c r="R78" s="166">
        <f>Q78</f>
        <v>770</v>
      </c>
      <c r="S78" s="164">
        <f>F78+J78+F79+J79</f>
        <v>223</v>
      </c>
      <c r="T78" s="164">
        <f>IF(O78="","",SUM(O78+O79))</f>
        <v>10</v>
      </c>
      <c r="U78" s="43">
        <f t="shared" ref="U78:V78" si="78">S78</f>
        <v>223</v>
      </c>
      <c r="V78" s="43">
        <f t="shared" si="78"/>
        <v>10</v>
      </c>
      <c r="W78" s="162" t="s">
        <v>45</v>
      </c>
      <c r="X78" s="43" t="s">
        <v>45</v>
      </c>
      <c r="Y78" s="162" t="s">
        <v>38</v>
      </c>
      <c r="Z78" s="43" t="str">
        <f>Y78</f>
        <v>N</v>
      </c>
      <c r="AA78" s="162" t="s">
        <v>39</v>
      </c>
      <c r="AB78" s="44" t="str">
        <f>IF(AA78="M", "M", IF(AA78="Ž", "Ž", IF(AA78="S", "S", "")))</f>
        <v>M</v>
      </c>
      <c r="AC78" s="168"/>
      <c r="AD78" s="168"/>
    </row>
    <row r="79" spans="1:30" ht="18" customHeight="1" x14ac:dyDescent="0.2">
      <c r="A79" s="159"/>
      <c r="B79" s="45">
        <f>A78</f>
        <v>37</v>
      </c>
      <c r="C79" s="67" t="s">
        <v>124</v>
      </c>
      <c r="D79" s="47" t="s">
        <v>123</v>
      </c>
      <c r="E79" s="48">
        <v>127</v>
      </c>
      <c r="F79" s="49">
        <v>57</v>
      </c>
      <c r="G79" s="50">
        <v>2</v>
      </c>
      <c r="H79" s="51">
        <f t="shared" si="0"/>
        <v>184</v>
      </c>
      <c r="I79" s="48">
        <v>139</v>
      </c>
      <c r="J79" s="49">
        <v>51</v>
      </c>
      <c r="K79" s="50">
        <v>3</v>
      </c>
      <c r="L79" s="51">
        <f t="shared" si="1"/>
        <v>190</v>
      </c>
      <c r="M79" s="52">
        <f t="shared" si="2"/>
        <v>266</v>
      </c>
      <c r="N79" s="53">
        <f t="shared" si="3"/>
        <v>108</v>
      </c>
      <c r="O79" s="53">
        <f t="shared" si="4"/>
        <v>5</v>
      </c>
      <c r="P79" s="54">
        <f t="shared" si="5"/>
        <v>374</v>
      </c>
      <c r="Q79" s="55">
        <f>Q78</f>
        <v>770</v>
      </c>
      <c r="R79" s="159"/>
      <c r="S79" s="165"/>
      <c r="T79" s="165"/>
      <c r="U79" s="43">
        <f t="shared" ref="U79:V79" si="79">U78</f>
        <v>223</v>
      </c>
      <c r="V79" s="43">
        <f t="shared" si="79"/>
        <v>10</v>
      </c>
      <c r="W79" s="163"/>
      <c r="X79" s="43" t="s">
        <v>45</v>
      </c>
      <c r="Y79" s="163"/>
      <c r="Z79" s="43" t="str">
        <f>Z78</f>
        <v>N</v>
      </c>
      <c r="AA79" s="163"/>
      <c r="AB79" s="44" t="str">
        <f>AB78</f>
        <v>M</v>
      </c>
      <c r="AC79" s="168"/>
      <c r="AD79" s="168"/>
    </row>
    <row r="80" spans="1:30" ht="18" customHeight="1" x14ac:dyDescent="0.2">
      <c r="A80" s="158">
        <v>38</v>
      </c>
      <c r="B80" s="31">
        <f>A80</f>
        <v>38</v>
      </c>
      <c r="C80" s="68" t="s">
        <v>125</v>
      </c>
      <c r="D80" s="33" t="s">
        <v>126</v>
      </c>
      <c r="E80" s="34">
        <v>135</v>
      </c>
      <c r="F80" s="35">
        <v>62</v>
      </c>
      <c r="G80" s="36">
        <v>4</v>
      </c>
      <c r="H80" s="37">
        <f t="shared" si="0"/>
        <v>197</v>
      </c>
      <c r="I80" s="34">
        <v>135</v>
      </c>
      <c r="J80" s="35">
        <v>52</v>
      </c>
      <c r="K80" s="36">
        <v>5</v>
      </c>
      <c r="L80" s="37">
        <f t="shared" si="1"/>
        <v>187</v>
      </c>
      <c r="M80" s="38">
        <f t="shared" si="2"/>
        <v>270</v>
      </c>
      <c r="N80" s="39">
        <f t="shared" si="3"/>
        <v>114</v>
      </c>
      <c r="O80" s="64">
        <f t="shared" si="4"/>
        <v>9</v>
      </c>
      <c r="P80" s="65">
        <f t="shared" si="5"/>
        <v>384</v>
      </c>
      <c r="Q80" s="42">
        <f>IF(P80="","",SUM(P80+P81))</f>
        <v>771</v>
      </c>
      <c r="R80" s="166">
        <f>Q80</f>
        <v>771</v>
      </c>
      <c r="S80" s="164">
        <f>F80+J80+F81+J81</f>
        <v>223</v>
      </c>
      <c r="T80" s="164">
        <f>IF(O80="","",SUM(O80+O81))</f>
        <v>19</v>
      </c>
      <c r="U80" s="43">
        <f t="shared" ref="U80:V80" si="80">S80</f>
        <v>223</v>
      </c>
      <c r="V80" s="43">
        <f t="shared" si="80"/>
        <v>19</v>
      </c>
      <c r="W80" s="162" t="s">
        <v>45</v>
      </c>
      <c r="X80" s="43" t="s">
        <v>45</v>
      </c>
      <c r="Y80" s="162" t="s">
        <v>38</v>
      </c>
      <c r="Z80" s="43" t="str">
        <f>Y80</f>
        <v>N</v>
      </c>
      <c r="AA80" s="162" t="s">
        <v>39</v>
      </c>
      <c r="AB80" s="44" t="str">
        <f>IF(AA80="M", "M", IF(AA80="Ž", "Ž", IF(AA80="S", "S", "")))</f>
        <v>M</v>
      </c>
      <c r="AC80" s="168"/>
      <c r="AD80" s="168"/>
    </row>
    <row r="81" spans="1:30" ht="18" customHeight="1" x14ac:dyDescent="0.2">
      <c r="A81" s="159"/>
      <c r="B81" s="45">
        <f>A80</f>
        <v>38</v>
      </c>
      <c r="C81" s="67" t="s">
        <v>127</v>
      </c>
      <c r="D81" s="47" t="s">
        <v>126</v>
      </c>
      <c r="E81" s="48">
        <v>147</v>
      </c>
      <c r="F81" s="49">
        <v>58</v>
      </c>
      <c r="G81" s="50">
        <v>3</v>
      </c>
      <c r="H81" s="51">
        <f t="shared" si="0"/>
        <v>205</v>
      </c>
      <c r="I81" s="48">
        <v>131</v>
      </c>
      <c r="J81" s="49">
        <v>51</v>
      </c>
      <c r="K81" s="50">
        <v>7</v>
      </c>
      <c r="L81" s="51">
        <f t="shared" si="1"/>
        <v>182</v>
      </c>
      <c r="M81" s="52">
        <f t="shared" si="2"/>
        <v>278</v>
      </c>
      <c r="N81" s="53">
        <f t="shared" si="3"/>
        <v>109</v>
      </c>
      <c r="O81" s="53">
        <f t="shared" si="4"/>
        <v>10</v>
      </c>
      <c r="P81" s="54">
        <f t="shared" si="5"/>
        <v>387</v>
      </c>
      <c r="Q81" s="55">
        <f>Q80</f>
        <v>771</v>
      </c>
      <c r="R81" s="159"/>
      <c r="S81" s="165"/>
      <c r="T81" s="165"/>
      <c r="U81" s="43">
        <f t="shared" ref="U81:V81" si="81">U80</f>
        <v>223</v>
      </c>
      <c r="V81" s="43">
        <f t="shared" si="81"/>
        <v>19</v>
      </c>
      <c r="W81" s="163"/>
      <c r="X81" s="43" t="s">
        <v>45</v>
      </c>
      <c r="Y81" s="163"/>
      <c r="Z81" s="43" t="str">
        <f>Z80</f>
        <v>N</v>
      </c>
      <c r="AA81" s="163"/>
      <c r="AB81" s="44" t="str">
        <f>AB80</f>
        <v>M</v>
      </c>
      <c r="AC81" s="168"/>
      <c r="AD81" s="168"/>
    </row>
    <row r="82" spans="1:30" ht="18" customHeight="1" x14ac:dyDescent="0.2">
      <c r="A82" s="158">
        <v>39</v>
      </c>
      <c r="B82" s="31">
        <f>A82</f>
        <v>39</v>
      </c>
      <c r="C82" s="68" t="s">
        <v>128</v>
      </c>
      <c r="D82" s="33" t="s">
        <v>126</v>
      </c>
      <c r="E82" s="34">
        <v>151</v>
      </c>
      <c r="F82" s="35">
        <v>68</v>
      </c>
      <c r="G82" s="36">
        <v>2</v>
      </c>
      <c r="H82" s="37">
        <f t="shared" si="0"/>
        <v>219</v>
      </c>
      <c r="I82" s="34">
        <v>152</v>
      </c>
      <c r="J82" s="35">
        <v>72</v>
      </c>
      <c r="K82" s="36">
        <v>4</v>
      </c>
      <c r="L82" s="37">
        <f t="shared" si="1"/>
        <v>224</v>
      </c>
      <c r="M82" s="38">
        <f t="shared" si="2"/>
        <v>303</v>
      </c>
      <c r="N82" s="39">
        <f t="shared" si="3"/>
        <v>140</v>
      </c>
      <c r="O82" s="64">
        <f t="shared" si="4"/>
        <v>6</v>
      </c>
      <c r="P82" s="65">
        <f t="shared" si="5"/>
        <v>443</v>
      </c>
      <c r="Q82" s="42">
        <f>IF(P82="","",SUM(P82+P83))</f>
        <v>858</v>
      </c>
      <c r="R82" s="166">
        <f>Q82</f>
        <v>858</v>
      </c>
      <c r="S82" s="164">
        <f>F82+J82+F83+J83</f>
        <v>270</v>
      </c>
      <c r="T82" s="164">
        <f>IF(O82="","",SUM(O82+O83))</f>
        <v>14</v>
      </c>
      <c r="U82" s="43">
        <f t="shared" ref="U82:V82" si="82">S82</f>
        <v>270</v>
      </c>
      <c r="V82" s="43">
        <f t="shared" si="82"/>
        <v>14</v>
      </c>
      <c r="W82" s="162" t="s">
        <v>45</v>
      </c>
      <c r="X82" s="43" t="s">
        <v>45</v>
      </c>
      <c r="Y82" s="162" t="s">
        <v>38</v>
      </c>
      <c r="Z82" s="43" t="str">
        <f>Y82</f>
        <v>N</v>
      </c>
      <c r="AA82" s="162" t="s">
        <v>39</v>
      </c>
      <c r="AB82" s="44" t="str">
        <f>IF(AA82="M", "M", IF(AA82="Ž", "Ž", IF(AA82="S", "S", "")))</f>
        <v>M</v>
      </c>
      <c r="AC82" s="168"/>
      <c r="AD82" s="168"/>
    </row>
    <row r="83" spans="1:30" ht="18" customHeight="1" x14ac:dyDescent="0.2">
      <c r="A83" s="159"/>
      <c r="B83" s="45">
        <f>A82</f>
        <v>39</v>
      </c>
      <c r="C83" s="67" t="s">
        <v>129</v>
      </c>
      <c r="D83" s="47" t="s">
        <v>126</v>
      </c>
      <c r="E83" s="48">
        <v>133</v>
      </c>
      <c r="F83" s="49">
        <v>52</v>
      </c>
      <c r="G83" s="50">
        <v>7</v>
      </c>
      <c r="H83" s="51">
        <f t="shared" si="0"/>
        <v>185</v>
      </c>
      <c r="I83" s="48">
        <v>152</v>
      </c>
      <c r="J83" s="49">
        <v>78</v>
      </c>
      <c r="K83" s="50">
        <v>1</v>
      </c>
      <c r="L83" s="51">
        <f t="shared" si="1"/>
        <v>230</v>
      </c>
      <c r="M83" s="52">
        <f t="shared" si="2"/>
        <v>285</v>
      </c>
      <c r="N83" s="53">
        <f t="shared" si="3"/>
        <v>130</v>
      </c>
      <c r="O83" s="53">
        <f t="shared" si="4"/>
        <v>8</v>
      </c>
      <c r="P83" s="54">
        <f t="shared" si="5"/>
        <v>415</v>
      </c>
      <c r="Q83" s="55">
        <f>Q82</f>
        <v>858</v>
      </c>
      <c r="R83" s="159"/>
      <c r="S83" s="165"/>
      <c r="T83" s="165"/>
      <c r="U83" s="43">
        <f t="shared" ref="U83:V83" si="83">U82</f>
        <v>270</v>
      </c>
      <c r="V83" s="43">
        <f t="shared" si="83"/>
        <v>14</v>
      </c>
      <c r="W83" s="163"/>
      <c r="X83" s="43" t="s">
        <v>45</v>
      </c>
      <c r="Y83" s="163"/>
      <c r="Z83" s="43" t="str">
        <f>Z82</f>
        <v>N</v>
      </c>
      <c r="AA83" s="163"/>
      <c r="AB83" s="44" t="str">
        <f>AB82</f>
        <v>M</v>
      </c>
      <c r="AC83" s="168"/>
      <c r="AD83" s="168"/>
    </row>
    <row r="84" spans="1:30" ht="15.75" customHeight="1" x14ac:dyDescent="0.2">
      <c r="A84" s="158">
        <v>40</v>
      </c>
      <c r="B84" s="31">
        <f>A84</f>
        <v>40</v>
      </c>
      <c r="C84" s="68" t="s">
        <v>71</v>
      </c>
      <c r="D84" s="33" t="s">
        <v>49</v>
      </c>
      <c r="E84" s="34">
        <v>143</v>
      </c>
      <c r="F84" s="35">
        <v>70</v>
      </c>
      <c r="G84" s="36">
        <v>2</v>
      </c>
      <c r="H84" s="37">
        <f t="shared" si="0"/>
        <v>213</v>
      </c>
      <c r="I84" s="34">
        <v>143</v>
      </c>
      <c r="J84" s="35">
        <v>52</v>
      </c>
      <c r="K84" s="36">
        <v>6</v>
      </c>
      <c r="L84" s="37">
        <f t="shared" si="1"/>
        <v>195</v>
      </c>
      <c r="M84" s="38">
        <f t="shared" si="2"/>
        <v>286</v>
      </c>
      <c r="N84" s="39">
        <f t="shared" si="3"/>
        <v>122</v>
      </c>
      <c r="O84" s="64">
        <f t="shared" si="4"/>
        <v>8</v>
      </c>
      <c r="P84" s="65">
        <f t="shared" si="5"/>
        <v>408</v>
      </c>
      <c r="Q84" s="42">
        <f>IF(P84="","",SUM(P84+P85))</f>
        <v>769</v>
      </c>
      <c r="R84" s="166">
        <f>Q84</f>
        <v>769</v>
      </c>
      <c r="S84" s="164">
        <f>F84+J84+F85+J85</f>
        <v>225</v>
      </c>
      <c r="T84" s="164">
        <f>IF(O84="","",SUM(O84+O85))</f>
        <v>20</v>
      </c>
      <c r="U84" s="43">
        <f t="shared" ref="U84:V84" si="84">S84</f>
        <v>225</v>
      </c>
      <c r="V84" s="43">
        <f t="shared" si="84"/>
        <v>20</v>
      </c>
      <c r="W84" s="162" t="s">
        <v>45</v>
      </c>
      <c r="X84" s="43" t="s">
        <v>45</v>
      </c>
      <c r="Y84" s="162" t="s">
        <v>50</v>
      </c>
      <c r="Z84" s="43" t="str">
        <f>Y84</f>
        <v>R</v>
      </c>
      <c r="AA84" s="162" t="s">
        <v>39</v>
      </c>
      <c r="AB84" s="44" t="str">
        <f>IF(AA84="M", "M", IF(AA84="Ž", "Ž", IF(AA84="S", "S", "")))</f>
        <v>M</v>
      </c>
      <c r="AC84" s="168"/>
      <c r="AD84" s="168"/>
    </row>
    <row r="85" spans="1:30" ht="15.75" customHeight="1" x14ac:dyDescent="0.2">
      <c r="A85" s="159"/>
      <c r="B85" s="45">
        <f>A84</f>
        <v>40</v>
      </c>
      <c r="C85" s="67" t="s">
        <v>130</v>
      </c>
      <c r="D85" s="47" t="s">
        <v>49</v>
      </c>
      <c r="E85" s="48">
        <v>116</v>
      </c>
      <c r="F85" s="49">
        <v>43</v>
      </c>
      <c r="G85" s="50">
        <v>8</v>
      </c>
      <c r="H85" s="51">
        <f t="shared" si="0"/>
        <v>159</v>
      </c>
      <c r="I85" s="48">
        <v>142</v>
      </c>
      <c r="J85" s="49">
        <v>60</v>
      </c>
      <c r="K85" s="50">
        <v>4</v>
      </c>
      <c r="L85" s="51">
        <f t="shared" si="1"/>
        <v>202</v>
      </c>
      <c r="M85" s="52">
        <f t="shared" si="2"/>
        <v>258</v>
      </c>
      <c r="N85" s="53">
        <f t="shared" si="3"/>
        <v>103</v>
      </c>
      <c r="O85" s="53">
        <f t="shared" si="4"/>
        <v>12</v>
      </c>
      <c r="P85" s="54">
        <f t="shared" si="5"/>
        <v>361</v>
      </c>
      <c r="Q85" s="55">
        <f>Q84</f>
        <v>769</v>
      </c>
      <c r="R85" s="159"/>
      <c r="S85" s="165"/>
      <c r="T85" s="165"/>
      <c r="U85" s="43">
        <f t="shared" ref="U85:V85" si="85">U84</f>
        <v>225</v>
      </c>
      <c r="V85" s="43">
        <f t="shared" si="85"/>
        <v>20</v>
      </c>
      <c r="W85" s="163"/>
      <c r="X85" s="43" t="s">
        <v>45</v>
      </c>
      <c r="Y85" s="163"/>
      <c r="Z85" s="43" t="str">
        <f>Z84</f>
        <v>R</v>
      </c>
      <c r="AA85" s="163"/>
      <c r="AB85" s="44" t="str">
        <f>AB84</f>
        <v>M</v>
      </c>
      <c r="AC85" s="168"/>
      <c r="AD85" s="168"/>
    </row>
    <row r="86" spans="1:30" ht="15.75" customHeight="1" x14ac:dyDescent="0.2">
      <c r="A86" s="158">
        <v>41</v>
      </c>
      <c r="B86" s="31">
        <f>A86</f>
        <v>41</v>
      </c>
      <c r="C86" s="68" t="s">
        <v>53</v>
      </c>
      <c r="D86" s="33" t="s">
        <v>49</v>
      </c>
      <c r="E86" s="34">
        <v>142</v>
      </c>
      <c r="F86" s="35">
        <v>52</v>
      </c>
      <c r="G86" s="36">
        <v>4</v>
      </c>
      <c r="H86" s="37">
        <f t="shared" si="0"/>
        <v>194</v>
      </c>
      <c r="I86" s="34">
        <v>146</v>
      </c>
      <c r="J86" s="35">
        <v>79</v>
      </c>
      <c r="K86" s="36">
        <v>0</v>
      </c>
      <c r="L86" s="37">
        <f t="shared" si="1"/>
        <v>225</v>
      </c>
      <c r="M86" s="38">
        <f t="shared" si="2"/>
        <v>288</v>
      </c>
      <c r="N86" s="39">
        <f t="shared" si="3"/>
        <v>131</v>
      </c>
      <c r="O86" s="64">
        <f t="shared" si="4"/>
        <v>4</v>
      </c>
      <c r="P86" s="65">
        <f t="shared" si="5"/>
        <v>419</v>
      </c>
      <c r="Q86" s="42">
        <f>IF(P86="","",SUM(P86+P87))</f>
        <v>838</v>
      </c>
      <c r="R86" s="166">
        <f>Q86</f>
        <v>838</v>
      </c>
      <c r="S86" s="164">
        <f>F86+J86+F87+J87</f>
        <v>255</v>
      </c>
      <c r="T86" s="164">
        <f>IF(O86="","",SUM(O86+O87))</f>
        <v>11</v>
      </c>
      <c r="U86" s="43">
        <f t="shared" ref="U86:V86" si="86">S86</f>
        <v>255</v>
      </c>
      <c r="V86" s="43">
        <f t="shared" si="86"/>
        <v>11</v>
      </c>
      <c r="W86" s="162" t="s">
        <v>45</v>
      </c>
      <c r="X86" s="43" t="s">
        <v>45</v>
      </c>
      <c r="Y86" s="162" t="s">
        <v>50</v>
      </c>
      <c r="Z86" s="43" t="str">
        <f>Y86</f>
        <v>R</v>
      </c>
      <c r="AA86" s="162" t="s">
        <v>39</v>
      </c>
      <c r="AB86" s="44" t="str">
        <f>IF(AA86="M", "M", IF(AA86="Ž", "Ž", IF(AA86="S", "S", "")))</f>
        <v>M</v>
      </c>
      <c r="AC86" s="168"/>
      <c r="AD86" s="168"/>
    </row>
    <row r="87" spans="1:30" ht="15.75" customHeight="1" x14ac:dyDescent="0.2">
      <c r="A87" s="159"/>
      <c r="B87" s="45">
        <f>A86</f>
        <v>41</v>
      </c>
      <c r="C87" s="67" t="s">
        <v>81</v>
      </c>
      <c r="D87" s="47" t="s">
        <v>49</v>
      </c>
      <c r="E87" s="48">
        <v>150</v>
      </c>
      <c r="F87" s="49">
        <v>72</v>
      </c>
      <c r="G87" s="50">
        <v>1</v>
      </c>
      <c r="H87" s="51">
        <f t="shared" si="0"/>
        <v>222</v>
      </c>
      <c r="I87" s="48">
        <v>145</v>
      </c>
      <c r="J87" s="49">
        <v>52</v>
      </c>
      <c r="K87" s="50">
        <v>6</v>
      </c>
      <c r="L87" s="51">
        <f t="shared" si="1"/>
        <v>197</v>
      </c>
      <c r="M87" s="52">
        <f t="shared" si="2"/>
        <v>295</v>
      </c>
      <c r="N87" s="53">
        <f t="shared" si="3"/>
        <v>124</v>
      </c>
      <c r="O87" s="53">
        <f t="shared" si="4"/>
        <v>7</v>
      </c>
      <c r="P87" s="54">
        <f t="shared" si="5"/>
        <v>419</v>
      </c>
      <c r="Q87" s="55">
        <f>Q86</f>
        <v>838</v>
      </c>
      <c r="R87" s="159"/>
      <c r="S87" s="165"/>
      <c r="T87" s="165"/>
      <c r="U87" s="43">
        <f t="shared" ref="U87:V87" si="87">U86</f>
        <v>255</v>
      </c>
      <c r="V87" s="43">
        <f t="shared" si="87"/>
        <v>11</v>
      </c>
      <c r="W87" s="163"/>
      <c r="X87" s="43" t="s">
        <v>45</v>
      </c>
      <c r="Y87" s="163"/>
      <c r="Z87" s="43" t="str">
        <f>Z86</f>
        <v>R</v>
      </c>
      <c r="AA87" s="163"/>
      <c r="AB87" s="44" t="str">
        <f>AB86</f>
        <v>M</v>
      </c>
      <c r="AC87" s="168"/>
      <c r="AD87" s="168"/>
    </row>
    <row r="88" spans="1:30" ht="15.75" customHeight="1" x14ac:dyDescent="0.2">
      <c r="A88" s="158">
        <v>42</v>
      </c>
      <c r="B88" s="31">
        <f>A88</f>
        <v>42</v>
      </c>
      <c r="C88" s="68" t="s">
        <v>131</v>
      </c>
      <c r="D88" s="33" t="s">
        <v>132</v>
      </c>
      <c r="E88" s="34">
        <v>142</v>
      </c>
      <c r="F88" s="35">
        <v>32</v>
      </c>
      <c r="G88" s="36">
        <v>8</v>
      </c>
      <c r="H88" s="37">
        <f t="shared" si="0"/>
        <v>174</v>
      </c>
      <c r="I88" s="34">
        <v>137</v>
      </c>
      <c r="J88" s="35">
        <v>61</v>
      </c>
      <c r="K88" s="36">
        <v>4</v>
      </c>
      <c r="L88" s="37">
        <f t="shared" si="1"/>
        <v>198</v>
      </c>
      <c r="M88" s="38">
        <f t="shared" si="2"/>
        <v>279</v>
      </c>
      <c r="N88" s="39">
        <f t="shared" si="3"/>
        <v>93</v>
      </c>
      <c r="O88" s="64">
        <f t="shared" si="4"/>
        <v>12</v>
      </c>
      <c r="P88" s="65">
        <f t="shared" si="5"/>
        <v>372</v>
      </c>
      <c r="Q88" s="42">
        <f>IF(P88="","",SUM(P88+P89))</f>
        <v>717</v>
      </c>
      <c r="R88" s="166">
        <f>Q88</f>
        <v>717</v>
      </c>
      <c r="S88" s="164">
        <f>F88+J88+F89+J89</f>
        <v>177</v>
      </c>
      <c r="T88" s="164">
        <f>IF(O88="","",SUM(O88+O89))</f>
        <v>33</v>
      </c>
      <c r="U88" s="43">
        <f t="shared" ref="U88:V88" si="88">S88</f>
        <v>177</v>
      </c>
      <c r="V88" s="43">
        <f t="shared" si="88"/>
        <v>33</v>
      </c>
      <c r="W88" s="162" t="s">
        <v>45</v>
      </c>
      <c r="X88" s="43" t="s">
        <v>45</v>
      </c>
      <c r="Y88" s="162" t="s">
        <v>38</v>
      </c>
      <c r="Z88" s="43" t="str">
        <f>Y88</f>
        <v>N</v>
      </c>
      <c r="AA88" s="162" t="s">
        <v>39</v>
      </c>
      <c r="AB88" s="44" t="str">
        <f>IF(AA88="M", "M", IF(AA88="Ž", "Ž", IF(AA88="S", "S", "")))</f>
        <v>M</v>
      </c>
      <c r="AC88" s="168"/>
      <c r="AD88" s="168"/>
    </row>
    <row r="89" spans="1:30" ht="15.75" customHeight="1" x14ac:dyDescent="0.2">
      <c r="A89" s="159"/>
      <c r="B89" s="45">
        <f>A88</f>
        <v>42</v>
      </c>
      <c r="C89" s="67" t="s">
        <v>133</v>
      </c>
      <c r="D89" s="47" t="s">
        <v>132</v>
      </c>
      <c r="E89" s="48">
        <v>129</v>
      </c>
      <c r="F89" s="49">
        <v>33</v>
      </c>
      <c r="G89" s="50">
        <v>12</v>
      </c>
      <c r="H89" s="51">
        <f t="shared" si="0"/>
        <v>162</v>
      </c>
      <c r="I89" s="48">
        <v>132</v>
      </c>
      <c r="J89" s="49">
        <v>51</v>
      </c>
      <c r="K89" s="50">
        <v>9</v>
      </c>
      <c r="L89" s="51">
        <f t="shared" si="1"/>
        <v>183</v>
      </c>
      <c r="M89" s="52">
        <f t="shared" si="2"/>
        <v>261</v>
      </c>
      <c r="N89" s="53">
        <f t="shared" si="3"/>
        <v>84</v>
      </c>
      <c r="O89" s="53">
        <f t="shared" si="4"/>
        <v>21</v>
      </c>
      <c r="P89" s="54">
        <f t="shared" si="5"/>
        <v>345</v>
      </c>
      <c r="Q89" s="55">
        <f>Q88</f>
        <v>717</v>
      </c>
      <c r="R89" s="159"/>
      <c r="S89" s="165"/>
      <c r="T89" s="165"/>
      <c r="U89" s="43">
        <f t="shared" ref="U89:V89" si="89">U88</f>
        <v>177</v>
      </c>
      <c r="V89" s="43">
        <f t="shared" si="89"/>
        <v>33</v>
      </c>
      <c r="W89" s="163"/>
      <c r="X89" s="43" t="s">
        <v>45</v>
      </c>
      <c r="Y89" s="163"/>
      <c r="Z89" s="43" t="str">
        <f>Z88</f>
        <v>N</v>
      </c>
      <c r="AA89" s="163"/>
      <c r="AB89" s="44" t="str">
        <f>AB88</f>
        <v>M</v>
      </c>
      <c r="AC89" s="168"/>
      <c r="AD89" s="168"/>
    </row>
    <row r="90" spans="1:30" ht="15.75" customHeight="1" x14ac:dyDescent="0.2">
      <c r="A90" s="158">
        <v>43</v>
      </c>
      <c r="B90" s="31">
        <f>A90</f>
        <v>43</v>
      </c>
      <c r="C90" s="68" t="s">
        <v>134</v>
      </c>
      <c r="D90" s="33" t="s">
        <v>135</v>
      </c>
      <c r="E90" s="34">
        <v>142</v>
      </c>
      <c r="F90" s="35">
        <v>53</v>
      </c>
      <c r="G90" s="36">
        <v>7</v>
      </c>
      <c r="H90" s="37">
        <f t="shared" si="0"/>
        <v>195</v>
      </c>
      <c r="I90" s="34">
        <v>121</v>
      </c>
      <c r="J90" s="35">
        <v>54</v>
      </c>
      <c r="K90" s="36">
        <v>5</v>
      </c>
      <c r="L90" s="37">
        <f t="shared" si="1"/>
        <v>175</v>
      </c>
      <c r="M90" s="38">
        <f t="shared" si="2"/>
        <v>263</v>
      </c>
      <c r="N90" s="39">
        <f t="shared" si="3"/>
        <v>107</v>
      </c>
      <c r="O90" s="64">
        <f t="shared" si="4"/>
        <v>12</v>
      </c>
      <c r="P90" s="65">
        <f t="shared" si="5"/>
        <v>370</v>
      </c>
      <c r="Q90" s="42">
        <f>IF(P90="","",SUM(P90+P91))</f>
        <v>782</v>
      </c>
      <c r="R90" s="166">
        <f>Q90</f>
        <v>782</v>
      </c>
      <c r="S90" s="164">
        <f>F90+J90+F91+J91</f>
        <v>230</v>
      </c>
      <c r="T90" s="164">
        <f>IF(O90="","",SUM(O90+O91))</f>
        <v>18</v>
      </c>
      <c r="U90" s="43">
        <f t="shared" ref="U90:V90" si="90">S90</f>
        <v>230</v>
      </c>
      <c r="V90" s="43">
        <f t="shared" si="90"/>
        <v>18</v>
      </c>
      <c r="W90" s="162" t="s">
        <v>45</v>
      </c>
      <c r="X90" s="43" t="s">
        <v>45</v>
      </c>
      <c r="Y90" s="162" t="s">
        <v>50</v>
      </c>
      <c r="Z90" s="43" t="str">
        <f>Y90</f>
        <v>R</v>
      </c>
      <c r="AA90" s="162" t="s">
        <v>39</v>
      </c>
      <c r="AB90" s="44" t="str">
        <f>IF(AA90="M", "M", IF(AA90="Ž", "Ž", IF(AA90="S", "S", "")))</f>
        <v>M</v>
      </c>
      <c r="AC90" s="168"/>
      <c r="AD90" s="168"/>
    </row>
    <row r="91" spans="1:30" ht="15.75" customHeight="1" x14ac:dyDescent="0.2">
      <c r="A91" s="159"/>
      <c r="B91" s="45">
        <f>A90</f>
        <v>43</v>
      </c>
      <c r="C91" s="67" t="s">
        <v>136</v>
      </c>
      <c r="D91" s="47" t="s">
        <v>135</v>
      </c>
      <c r="E91" s="48">
        <v>149</v>
      </c>
      <c r="F91" s="49">
        <v>52</v>
      </c>
      <c r="G91" s="50">
        <v>4</v>
      </c>
      <c r="H91" s="51">
        <f t="shared" si="0"/>
        <v>201</v>
      </c>
      <c r="I91" s="48">
        <v>140</v>
      </c>
      <c r="J91" s="49">
        <v>71</v>
      </c>
      <c r="K91" s="50">
        <v>2</v>
      </c>
      <c r="L91" s="51">
        <f t="shared" si="1"/>
        <v>211</v>
      </c>
      <c r="M91" s="52">
        <f t="shared" si="2"/>
        <v>289</v>
      </c>
      <c r="N91" s="53">
        <f t="shared" si="3"/>
        <v>123</v>
      </c>
      <c r="O91" s="53">
        <f t="shared" si="4"/>
        <v>6</v>
      </c>
      <c r="P91" s="54">
        <f t="shared" si="5"/>
        <v>412</v>
      </c>
      <c r="Q91" s="55">
        <f>Q90</f>
        <v>782</v>
      </c>
      <c r="R91" s="159"/>
      <c r="S91" s="165"/>
      <c r="T91" s="165"/>
      <c r="U91" s="43">
        <f t="shared" ref="U91:V91" si="91">U90</f>
        <v>230</v>
      </c>
      <c r="V91" s="43">
        <f t="shared" si="91"/>
        <v>18</v>
      </c>
      <c r="W91" s="163"/>
      <c r="X91" s="43" t="s">
        <v>45</v>
      </c>
      <c r="Y91" s="163"/>
      <c r="Z91" s="43" t="str">
        <f>Z90</f>
        <v>R</v>
      </c>
      <c r="AA91" s="163"/>
      <c r="AB91" s="44" t="str">
        <f>AB90</f>
        <v>M</v>
      </c>
      <c r="AC91" s="168"/>
      <c r="AD91" s="168"/>
    </row>
    <row r="92" spans="1:30" ht="15.75" customHeight="1" x14ac:dyDescent="0.2">
      <c r="A92" s="158">
        <v>44</v>
      </c>
      <c r="B92" s="31">
        <f>A92</f>
        <v>44</v>
      </c>
      <c r="C92" s="68" t="s">
        <v>137</v>
      </c>
      <c r="D92" s="33" t="s">
        <v>135</v>
      </c>
      <c r="E92" s="34">
        <v>146</v>
      </c>
      <c r="F92" s="35">
        <v>51</v>
      </c>
      <c r="G92" s="36">
        <v>7</v>
      </c>
      <c r="H92" s="37">
        <f t="shared" si="0"/>
        <v>197</v>
      </c>
      <c r="I92" s="34">
        <v>134</v>
      </c>
      <c r="J92" s="35">
        <v>62</v>
      </c>
      <c r="K92" s="36">
        <v>4</v>
      </c>
      <c r="L92" s="37">
        <f t="shared" si="1"/>
        <v>196</v>
      </c>
      <c r="M92" s="38">
        <f t="shared" si="2"/>
        <v>280</v>
      </c>
      <c r="N92" s="39">
        <f t="shared" si="3"/>
        <v>113</v>
      </c>
      <c r="O92" s="64">
        <f t="shared" si="4"/>
        <v>11</v>
      </c>
      <c r="P92" s="65">
        <f t="shared" si="5"/>
        <v>393</v>
      </c>
      <c r="Q92" s="42">
        <f>IF(P92="","",SUM(P92+P93))</f>
        <v>777</v>
      </c>
      <c r="R92" s="166">
        <f>Q92</f>
        <v>777</v>
      </c>
      <c r="S92" s="164">
        <f>F92+J92+F93+J93</f>
        <v>220</v>
      </c>
      <c r="T92" s="164">
        <f>IF(O92="","",SUM(O92+O93))</f>
        <v>24</v>
      </c>
      <c r="U92" s="43">
        <f t="shared" ref="U92:V92" si="92">S92</f>
        <v>220</v>
      </c>
      <c r="V92" s="43">
        <f t="shared" si="92"/>
        <v>24</v>
      </c>
      <c r="W92" s="162" t="s">
        <v>45</v>
      </c>
      <c r="X92" s="43" t="s">
        <v>45</v>
      </c>
      <c r="Y92" s="162" t="s">
        <v>50</v>
      </c>
      <c r="Z92" s="43" t="str">
        <f>Y92</f>
        <v>R</v>
      </c>
      <c r="AA92" s="162" t="s">
        <v>39</v>
      </c>
      <c r="AB92" s="44" t="str">
        <f>IF(AA92="M", "M", IF(AA92="Ž", "Ž", IF(AA92="S", "S", "")))</f>
        <v>M</v>
      </c>
      <c r="AC92" s="168"/>
      <c r="AD92" s="168"/>
    </row>
    <row r="93" spans="1:30" ht="15.75" customHeight="1" x14ac:dyDescent="0.2">
      <c r="A93" s="159"/>
      <c r="B93" s="45">
        <f>A92</f>
        <v>44</v>
      </c>
      <c r="C93" s="67" t="s">
        <v>138</v>
      </c>
      <c r="D93" s="47" t="s">
        <v>135</v>
      </c>
      <c r="E93" s="48">
        <v>144</v>
      </c>
      <c r="F93" s="49">
        <v>53</v>
      </c>
      <c r="G93" s="50">
        <v>6</v>
      </c>
      <c r="H93" s="51">
        <f t="shared" si="0"/>
        <v>197</v>
      </c>
      <c r="I93" s="48">
        <v>133</v>
      </c>
      <c r="J93" s="49">
        <v>54</v>
      </c>
      <c r="K93" s="50">
        <v>7</v>
      </c>
      <c r="L93" s="51">
        <f t="shared" si="1"/>
        <v>187</v>
      </c>
      <c r="M93" s="52">
        <f t="shared" si="2"/>
        <v>277</v>
      </c>
      <c r="N93" s="53">
        <f t="shared" si="3"/>
        <v>107</v>
      </c>
      <c r="O93" s="53">
        <f t="shared" si="4"/>
        <v>13</v>
      </c>
      <c r="P93" s="54">
        <f t="shared" si="5"/>
        <v>384</v>
      </c>
      <c r="Q93" s="55">
        <f>Q92</f>
        <v>777</v>
      </c>
      <c r="R93" s="159"/>
      <c r="S93" s="165"/>
      <c r="T93" s="165"/>
      <c r="U93" s="43">
        <f t="shared" ref="U93:V93" si="93">U92</f>
        <v>220</v>
      </c>
      <c r="V93" s="43">
        <f t="shared" si="93"/>
        <v>24</v>
      </c>
      <c r="W93" s="163"/>
      <c r="X93" s="43" t="s">
        <v>45</v>
      </c>
      <c r="Y93" s="163"/>
      <c r="Z93" s="43" t="str">
        <f>Z92</f>
        <v>R</v>
      </c>
      <c r="AA93" s="163"/>
      <c r="AB93" s="44" t="str">
        <f>AB92</f>
        <v>M</v>
      </c>
      <c r="AC93" s="168"/>
      <c r="AD93" s="168"/>
    </row>
    <row r="94" spans="1:30" ht="15.75" customHeight="1" x14ac:dyDescent="0.2">
      <c r="A94" s="158">
        <v>45</v>
      </c>
      <c r="B94" s="31">
        <f>A94</f>
        <v>45</v>
      </c>
      <c r="C94" s="68" t="s">
        <v>138</v>
      </c>
      <c r="D94" s="33" t="s">
        <v>135</v>
      </c>
      <c r="E94" s="34">
        <v>143</v>
      </c>
      <c r="F94" s="35">
        <v>72</v>
      </c>
      <c r="G94" s="36">
        <v>5</v>
      </c>
      <c r="H94" s="37">
        <f t="shared" si="0"/>
        <v>215</v>
      </c>
      <c r="I94" s="34">
        <v>140</v>
      </c>
      <c r="J94" s="35">
        <v>47</v>
      </c>
      <c r="K94" s="36">
        <v>5</v>
      </c>
      <c r="L94" s="37">
        <f t="shared" si="1"/>
        <v>187</v>
      </c>
      <c r="M94" s="38">
        <f t="shared" si="2"/>
        <v>283</v>
      </c>
      <c r="N94" s="39">
        <f t="shared" si="3"/>
        <v>119</v>
      </c>
      <c r="O94" s="64">
        <f t="shared" si="4"/>
        <v>10</v>
      </c>
      <c r="P94" s="65">
        <f t="shared" si="5"/>
        <v>402</v>
      </c>
      <c r="Q94" s="42">
        <f>IF(P94="","",SUM(P94+P95))</f>
        <v>881</v>
      </c>
      <c r="R94" s="166">
        <f>Q94</f>
        <v>881</v>
      </c>
      <c r="S94" s="164">
        <f>F94+J94+F95+J95</f>
        <v>287</v>
      </c>
      <c r="T94" s="164">
        <f>IF(O94="","",SUM(O94+O95))</f>
        <v>14</v>
      </c>
      <c r="U94" s="43">
        <f t="shared" ref="U94:V94" si="94">S94</f>
        <v>287</v>
      </c>
      <c r="V94" s="43">
        <f t="shared" si="94"/>
        <v>14</v>
      </c>
      <c r="W94" s="162" t="s">
        <v>45</v>
      </c>
      <c r="X94" s="43" t="s">
        <v>45</v>
      </c>
      <c r="Y94" s="162" t="s">
        <v>50</v>
      </c>
      <c r="Z94" s="43" t="str">
        <f>Y94</f>
        <v>R</v>
      </c>
      <c r="AA94" s="162" t="s">
        <v>39</v>
      </c>
      <c r="AB94" s="44" t="str">
        <f>IF(AA94="M", "M", IF(AA94="Ž", "Ž", IF(AA94="S", "S", "")))</f>
        <v>M</v>
      </c>
      <c r="AC94" s="168"/>
      <c r="AD94" s="168"/>
    </row>
    <row r="95" spans="1:30" ht="15.75" customHeight="1" x14ac:dyDescent="0.2">
      <c r="A95" s="159"/>
      <c r="B95" s="45">
        <f>A94</f>
        <v>45</v>
      </c>
      <c r="C95" s="67" t="s">
        <v>136</v>
      </c>
      <c r="D95" s="47" t="s">
        <v>135</v>
      </c>
      <c r="E95" s="48">
        <v>148</v>
      </c>
      <c r="F95" s="49">
        <v>63</v>
      </c>
      <c r="G95" s="50">
        <v>3</v>
      </c>
      <c r="H95" s="51">
        <f t="shared" si="0"/>
        <v>211</v>
      </c>
      <c r="I95" s="48">
        <v>163</v>
      </c>
      <c r="J95" s="49">
        <v>105</v>
      </c>
      <c r="K95" s="50">
        <v>1</v>
      </c>
      <c r="L95" s="51">
        <f t="shared" si="1"/>
        <v>268</v>
      </c>
      <c r="M95" s="52">
        <f t="shared" si="2"/>
        <v>311</v>
      </c>
      <c r="N95" s="53">
        <f t="shared" si="3"/>
        <v>168</v>
      </c>
      <c r="O95" s="53">
        <f t="shared" si="4"/>
        <v>4</v>
      </c>
      <c r="P95" s="54">
        <f t="shared" si="5"/>
        <v>479</v>
      </c>
      <c r="Q95" s="55">
        <f>Q94</f>
        <v>881</v>
      </c>
      <c r="R95" s="159"/>
      <c r="S95" s="165"/>
      <c r="T95" s="165"/>
      <c r="U95" s="43">
        <f t="shared" ref="U95:V95" si="95">U94</f>
        <v>287</v>
      </c>
      <c r="V95" s="43">
        <f t="shared" si="95"/>
        <v>14</v>
      </c>
      <c r="W95" s="163"/>
      <c r="X95" s="43" t="s">
        <v>45</v>
      </c>
      <c r="Y95" s="163"/>
      <c r="Z95" s="43" t="str">
        <f>Z94</f>
        <v>R</v>
      </c>
      <c r="AA95" s="163"/>
      <c r="AB95" s="44" t="str">
        <f>AB94</f>
        <v>M</v>
      </c>
      <c r="AC95" s="168"/>
      <c r="AD95" s="168"/>
    </row>
    <row r="96" spans="1:30" ht="15.75" customHeight="1" x14ac:dyDescent="0.2">
      <c r="A96" s="158">
        <v>46</v>
      </c>
      <c r="B96" s="31">
        <f>A96</f>
        <v>46</v>
      </c>
      <c r="C96" s="68" t="s">
        <v>92</v>
      </c>
      <c r="D96" s="33" t="s">
        <v>49</v>
      </c>
      <c r="E96" s="34">
        <v>145</v>
      </c>
      <c r="F96" s="35">
        <v>59</v>
      </c>
      <c r="G96" s="36">
        <v>4</v>
      </c>
      <c r="H96" s="37">
        <f t="shared" si="0"/>
        <v>204</v>
      </c>
      <c r="I96" s="34">
        <v>147</v>
      </c>
      <c r="J96" s="35">
        <v>63</v>
      </c>
      <c r="K96" s="36">
        <v>1</v>
      </c>
      <c r="L96" s="37">
        <f t="shared" si="1"/>
        <v>210</v>
      </c>
      <c r="M96" s="38">
        <f t="shared" si="2"/>
        <v>292</v>
      </c>
      <c r="N96" s="39">
        <f t="shared" si="3"/>
        <v>122</v>
      </c>
      <c r="O96" s="64">
        <f t="shared" si="4"/>
        <v>5</v>
      </c>
      <c r="P96" s="65">
        <f t="shared" si="5"/>
        <v>414</v>
      </c>
      <c r="Q96" s="42">
        <f>IF(P96="","",SUM(P96+P97))</f>
        <v>778</v>
      </c>
      <c r="R96" s="166">
        <f>Q96</f>
        <v>778</v>
      </c>
      <c r="S96" s="164">
        <f>F96+J96+F97+J97</f>
        <v>207</v>
      </c>
      <c r="T96" s="164">
        <f>IF(O96="","",SUM(O96+O97))</f>
        <v>19</v>
      </c>
      <c r="U96" s="43">
        <f t="shared" ref="U96:V96" si="96">S96</f>
        <v>207</v>
      </c>
      <c r="V96" s="43">
        <f t="shared" si="96"/>
        <v>19</v>
      </c>
      <c r="W96" s="162" t="s">
        <v>45</v>
      </c>
      <c r="X96" s="43" t="s">
        <v>45</v>
      </c>
      <c r="Y96" s="162" t="s">
        <v>50</v>
      </c>
      <c r="Z96" s="43" t="str">
        <f>Y96</f>
        <v>R</v>
      </c>
      <c r="AA96" s="162" t="s">
        <v>39</v>
      </c>
      <c r="AB96" s="44" t="str">
        <f>IF(AA96="M", "M", IF(AA96="Ž", "Ž", IF(AA96="S", "S", "")))</f>
        <v>M</v>
      </c>
      <c r="AC96" s="168"/>
      <c r="AD96" s="168"/>
    </row>
    <row r="97" spans="1:30" ht="15.75" customHeight="1" x14ac:dyDescent="0.2">
      <c r="A97" s="159"/>
      <c r="B97" s="45">
        <f>A96</f>
        <v>46</v>
      </c>
      <c r="C97" s="67" t="s">
        <v>48</v>
      </c>
      <c r="D97" s="47" t="s">
        <v>49</v>
      </c>
      <c r="E97" s="48">
        <v>127</v>
      </c>
      <c r="F97" s="49">
        <v>35</v>
      </c>
      <c r="G97" s="50">
        <v>8</v>
      </c>
      <c r="H97" s="51">
        <f t="shared" si="0"/>
        <v>162</v>
      </c>
      <c r="I97" s="48">
        <v>152</v>
      </c>
      <c r="J97" s="49">
        <v>50</v>
      </c>
      <c r="K97" s="50">
        <v>6</v>
      </c>
      <c r="L97" s="51">
        <f t="shared" si="1"/>
        <v>202</v>
      </c>
      <c r="M97" s="52">
        <f t="shared" si="2"/>
        <v>279</v>
      </c>
      <c r="N97" s="53">
        <f t="shared" si="3"/>
        <v>85</v>
      </c>
      <c r="O97" s="53">
        <f t="shared" si="4"/>
        <v>14</v>
      </c>
      <c r="P97" s="54">
        <f t="shared" si="5"/>
        <v>364</v>
      </c>
      <c r="Q97" s="55">
        <f>Q96</f>
        <v>778</v>
      </c>
      <c r="R97" s="159"/>
      <c r="S97" s="165"/>
      <c r="T97" s="165"/>
      <c r="U97" s="43">
        <f t="shared" ref="U97:V97" si="97">U96</f>
        <v>207</v>
      </c>
      <c r="V97" s="43">
        <f t="shared" si="97"/>
        <v>19</v>
      </c>
      <c r="W97" s="163"/>
      <c r="X97" s="43" t="s">
        <v>45</v>
      </c>
      <c r="Y97" s="163"/>
      <c r="Z97" s="43" t="str">
        <f>Z96</f>
        <v>R</v>
      </c>
      <c r="AA97" s="163"/>
      <c r="AB97" s="44" t="str">
        <f>AB96</f>
        <v>M</v>
      </c>
      <c r="AC97" s="168"/>
      <c r="AD97" s="168"/>
    </row>
    <row r="98" spans="1:30" ht="15.75" customHeight="1" x14ac:dyDescent="0.2">
      <c r="A98" s="158">
        <v>47</v>
      </c>
      <c r="B98" s="31">
        <f>A98</f>
        <v>47</v>
      </c>
      <c r="C98" s="68" t="s">
        <v>51</v>
      </c>
      <c r="D98" s="47" t="s">
        <v>49</v>
      </c>
      <c r="E98" s="34">
        <v>147</v>
      </c>
      <c r="F98" s="35">
        <v>59</v>
      </c>
      <c r="G98" s="36">
        <v>4</v>
      </c>
      <c r="H98" s="37">
        <f t="shared" si="0"/>
        <v>206</v>
      </c>
      <c r="I98" s="34">
        <v>137</v>
      </c>
      <c r="J98" s="35">
        <v>78</v>
      </c>
      <c r="K98" s="36">
        <v>1</v>
      </c>
      <c r="L98" s="37">
        <f t="shared" si="1"/>
        <v>215</v>
      </c>
      <c r="M98" s="38">
        <f t="shared" si="2"/>
        <v>284</v>
      </c>
      <c r="N98" s="39">
        <f t="shared" si="3"/>
        <v>137</v>
      </c>
      <c r="O98" s="64">
        <f t="shared" si="4"/>
        <v>5</v>
      </c>
      <c r="P98" s="65">
        <f t="shared" si="5"/>
        <v>421</v>
      </c>
      <c r="Q98" s="42">
        <f>IF(P98="","",SUM(P98+P99))</f>
        <v>801</v>
      </c>
      <c r="R98" s="166">
        <f>Q98</f>
        <v>801</v>
      </c>
      <c r="S98" s="164">
        <f>F98+J98+F99+J99</f>
        <v>228</v>
      </c>
      <c r="T98" s="164">
        <f>IF(O98="","",SUM(O98+O99))</f>
        <v>18</v>
      </c>
      <c r="U98" s="43">
        <f t="shared" ref="U98:V98" si="98">S98</f>
        <v>228</v>
      </c>
      <c r="V98" s="43">
        <f t="shared" si="98"/>
        <v>18</v>
      </c>
      <c r="W98" s="162" t="s">
        <v>45</v>
      </c>
      <c r="X98" s="43" t="s">
        <v>45</v>
      </c>
      <c r="Y98" s="162" t="s">
        <v>50</v>
      </c>
      <c r="Z98" s="43" t="str">
        <f>Y98</f>
        <v>R</v>
      </c>
      <c r="AA98" s="162" t="s">
        <v>69</v>
      </c>
      <c r="AB98" s="44" t="str">
        <f>IF(AA98="M", "M", IF(AA98="Ž", "Ž", IF(AA98="S", "S", "")))</f>
        <v>Ž</v>
      </c>
      <c r="AC98" s="168"/>
      <c r="AD98" s="168"/>
    </row>
    <row r="99" spans="1:30" ht="15.75" customHeight="1" x14ac:dyDescent="0.2">
      <c r="A99" s="159"/>
      <c r="B99" s="45">
        <f>A98</f>
        <v>47</v>
      </c>
      <c r="C99" s="67" t="s">
        <v>139</v>
      </c>
      <c r="D99" s="47" t="s">
        <v>49</v>
      </c>
      <c r="E99" s="48">
        <v>145</v>
      </c>
      <c r="F99" s="49">
        <v>51</v>
      </c>
      <c r="G99" s="50">
        <v>4</v>
      </c>
      <c r="H99" s="51">
        <f t="shared" si="0"/>
        <v>196</v>
      </c>
      <c r="I99" s="48">
        <v>144</v>
      </c>
      <c r="J99" s="49">
        <v>40</v>
      </c>
      <c r="K99" s="50">
        <v>9</v>
      </c>
      <c r="L99" s="51">
        <f t="shared" si="1"/>
        <v>184</v>
      </c>
      <c r="M99" s="52">
        <f t="shared" si="2"/>
        <v>289</v>
      </c>
      <c r="N99" s="53">
        <f t="shared" si="3"/>
        <v>91</v>
      </c>
      <c r="O99" s="53">
        <f t="shared" si="4"/>
        <v>13</v>
      </c>
      <c r="P99" s="54">
        <f t="shared" si="5"/>
        <v>380</v>
      </c>
      <c r="Q99" s="55">
        <f>Q98</f>
        <v>801</v>
      </c>
      <c r="R99" s="159"/>
      <c r="S99" s="165"/>
      <c r="T99" s="165"/>
      <c r="U99" s="43">
        <f t="shared" ref="U99:V99" si="99">U98</f>
        <v>228</v>
      </c>
      <c r="V99" s="43">
        <f t="shared" si="99"/>
        <v>18</v>
      </c>
      <c r="W99" s="163"/>
      <c r="X99" s="43" t="s">
        <v>45</v>
      </c>
      <c r="Y99" s="163"/>
      <c r="Z99" s="43" t="str">
        <f>Z98</f>
        <v>R</v>
      </c>
      <c r="AA99" s="163"/>
      <c r="AB99" s="44" t="str">
        <f>AB98</f>
        <v>Ž</v>
      </c>
      <c r="AC99" s="168"/>
      <c r="AD99" s="168"/>
    </row>
    <row r="100" spans="1:30" ht="15.75" customHeight="1" x14ac:dyDescent="0.2">
      <c r="A100" s="158">
        <v>48</v>
      </c>
      <c r="B100" s="31">
        <f>A100</f>
        <v>48</v>
      </c>
      <c r="C100" s="68" t="s">
        <v>140</v>
      </c>
      <c r="D100" s="33" t="s">
        <v>141</v>
      </c>
      <c r="E100" s="34">
        <v>145</v>
      </c>
      <c r="F100" s="35">
        <v>62</v>
      </c>
      <c r="G100" s="36">
        <v>2</v>
      </c>
      <c r="H100" s="37">
        <f t="shared" si="0"/>
        <v>207</v>
      </c>
      <c r="I100" s="34">
        <v>147</v>
      </c>
      <c r="J100" s="35">
        <v>62</v>
      </c>
      <c r="K100" s="36">
        <v>5</v>
      </c>
      <c r="L100" s="37">
        <f t="shared" si="1"/>
        <v>209</v>
      </c>
      <c r="M100" s="38">
        <f t="shared" si="2"/>
        <v>292</v>
      </c>
      <c r="N100" s="39">
        <f t="shared" si="3"/>
        <v>124</v>
      </c>
      <c r="O100" s="64">
        <f t="shared" si="4"/>
        <v>7</v>
      </c>
      <c r="P100" s="65">
        <f t="shared" si="5"/>
        <v>416</v>
      </c>
      <c r="Q100" s="42">
        <f>IF(P100="","",SUM(P100+P101))</f>
        <v>833</v>
      </c>
      <c r="R100" s="166">
        <f>Q100</f>
        <v>833</v>
      </c>
      <c r="S100" s="164">
        <f>F100+J100+F101+J101</f>
        <v>244</v>
      </c>
      <c r="T100" s="164">
        <f>IF(O100="","",SUM(O100+O101))</f>
        <v>17</v>
      </c>
      <c r="U100" s="43">
        <f t="shared" ref="U100:V100" si="100">S100</f>
        <v>244</v>
      </c>
      <c r="V100" s="43">
        <f t="shared" si="100"/>
        <v>17</v>
      </c>
      <c r="W100" s="162" t="s">
        <v>37</v>
      </c>
      <c r="X100" s="43" t="s">
        <v>37</v>
      </c>
      <c r="Y100" s="162" t="s">
        <v>50</v>
      </c>
      <c r="Z100" s="43" t="str">
        <f>Y100</f>
        <v>R</v>
      </c>
      <c r="AA100" s="162" t="s">
        <v>46</v>
      </c>
      <c r="AB100" s="44" t="str">
        <f>IF(AA100="M", "M", IF(AA100="Ž", "Ž", IF(AA100="S", "S", "")))</f>
        <v>S</v>
      </c>
      <c r="AC100" s="168"/>
      <c r="AD100" s="168"/>
    </row>
    <row r="101" spans="1:30" ht="15.75" customHeight="1" x14ac:dyDescent="0.2">
      <c r="A101" s="159"/>
      <c r="B101" s="45">
        <f>A100</f>
        <v>48</v>
      </c>
      <c r="C101" s="67" t="s">
        <v>142</v>
      </c>
      <c r="D101" s="47" t="s">
        <v>143</v>
      </c>
      <c r="E101" s="48">
        <v>153</v>
      </c>
      <c r="F101" s="49">
        <v>68</v>
      </c>
      <c r="G101" s="50">
        <v>5</v>
      </c>
      <c r="H101" s="51">
        <f t="shared" si="0"/>
        <v>221</v>
      </c>
      <c r="I101" s="48">
        <v>144</v>
      </c>
      <c r="J101" s="49">
        <v>52</v>
      </c>
      <c r="K101" s="50">
        <v>5</v>
      </c>
      <c r="L101" s="51">
        <f t="shared" si="1"/>
        <v>196</v>
      </c>
      <c r="M101" s="52">
        <f t="shared" si="2"/>
        <v>297</v>
      </c>
      <c r="N101" s="53">
        <f t="shared" si="3"/>
        <v>120</v>
      </c>
      <c r="O101" s="53">
        <f t="shared" si="4"/>
        <v>10</v>
      </c>
      <c r="P101" s="54">
        <f t="shared" si="5"/>
        <v>417</v>
      </c>
      <c r="Q101" s="55">
        <f>Q100</f>
        <v>833</v>
      </c>
      <c r="R101" s="159"/>
      <c r="S101" s="165"/>
      <c r="T101" s="165"/>
      <c r="U101" s="43">
        <f t="shared" ref="U101:V101" si="101">U100</f>
        <v>244</v>
      </c>
      <c r="V101" s="43">
        <f t="shared" si="101"/>
        <v>17</v>
      </c>
      <c r="W101" s="163"/>
      <c r="X101" s="43" t="s">
        <v>37</v>
      </c>
      <c r="Y101" s="163"/>
      <c r="Z101" s="43" t="str">
        <f>Z100</f>
        <v>R</v>
      </c>
      <c r="AA101" s="163"/>
      <c r="AB101" s="44" t="str">
        <f>AB100</f>
        <v>S</v>
      </c>
      <c r="AC101" s="168"/>
      <c r="AD101" s="168"/>
    </row>
    <row r="102" spans="1:30" ht="15.75" customHeight="1" x14ac:dyDescent="0.2">
      <c r="A102" s="158">
        <v>49</v>
      </c>
      <c r="B102" s="31">
        <f>A102</f>
        <v>49</v>
      </c>
      <c r="C102" s="68" t="s">
        <v>144</v>
      </c>
      <c r="D102" s="33" t="s">
        <v>49</v>
      </c>
      <c r="E102" s="34">
        <v>125</v>
      </c>
      <c r="F102" s="35">
        <v>66</v>
      </c>
      <c r="G102" s="36">
        <v>3</v>
      </c>
      <c r="H102" s="37">
        <f t="shared" si="0"/>
        <v>191</v>
      </c>
      <c r="I102" s="34">
        <v>156</v>
      </c>
      <c r="J102" s="35">
        <v>42</v>
      </c>
      <c r="K102" s="36">
        <v>9</v>
      </c>
      <c r="L102" s="37">
        <f t="shared" si="1"/>
        <v>198</v>
      </c>
      <c r="M102" s="38">
        <f t="shared" si="2"/>
        <v>281</v>
      </c>
      <c r="N102" s="39">
        <f t="shared" si="3"/>
        <v>108</v>
      </c>
      <c r="O102" s="64">
        <f t="shared" si="4"/>
        <v>12</v>
      </c>
      <c r="P102" s="65">
        <f t="shared" si="5"/>
        <v>389</v>
      </c>
      <c r="Q102" s="42">
        <f>IF(P102="","",SUM(P102+P103))</f>
        <v>761</v>
      </c>
      <c r="R102" s="166">
        <f>Q102</f>
        <v>761</v>
      </c>
      <c r="S102" s="164">
        <f>F102+J102+F103+J103</f>
        <v>188</v>
      </c>
      <c r="T102" s="164">
        <f>IF(O102="","",SUM(O102+O103))</f>
        <v>29</v>
      </c>
      <c r="U102" s="43">
        <f t="shared" ref="U102:V102" si="102">S102</f>
        <v>188</v>
      </c>
      <c r="V102" s="43">
        <f t="shared" si="102"/>
        <v>29</v>
      </c>
      <c r="W102" s="162" t="s">
        <v>45</v>
      </c>
      <c r="X102" s="43" t="s">
        <v>45</v>
      </c>
      <c r="Y102" s="162" t="s">
        <v>50</v>
      </c>
      <c r="Z102" s="43" t="str">
        <f>Y102</f>
        <v>R</v>
      </c>
      <c r="AA102" s="162" t="s">
        <v>39</v>
      </c>
      <c r="AB102" s="44" t="str">
        <f>IF(AA102="M", "M", IF(AA102="Ž", "Ž", IF(AA102="S", "S", "")))</f>
        <v>M</v>
      </c>
      <c r="AC102" s="168"/>
      <c r="AD102" s="168"/>
    </row>
    <row r="103" spans="1:30" ht="15.75" customHeight="1" x14ac:dyDescent="0.2">
      <c r="A103" s="159"/>
      <c r="B103" s="45">
        <f>A102</f>
        <v>49</v>
      </c>
      <c r="C103" s="67" t="s">
        <v>145</v>
      </c>
      <c r="D103" s="47" t="s">
        <v>49</v>
      </c>
      <c r="E103" s="48">
        <v>141</v>
      </c>
      <c r="F103" s="49">
        <v>53</v>
      </c>
      <c r="G103" s="50">
        <v>5</v>
      </c>
      <c r="H103" s="51">
        <f t="shared" si="0"/>
        <v>194</v>
      </c>
      <c r="I103" s="48">
        <v>151</v>
      </c>
      <c r="J103" s="49">
        <v>27</v>
      </c>
      <c r="K103" s="50">
        <v>12</v>
      </c>
      <c r="L103" s="51">
        <f t="shared" si="1"/>
        <v>178</v>
      </c>
      <c r="M103" s="52">
        <f t="shared" si="2"/>
        <v>292</v>
      </c>
      <c r="N103" s="53">
        <f t="shared" si="3"/>
        <v>80</v>
      </c>
      <c r="O103" s="53">
        <f t="shared" si="4"/>
        <v>17</v>
      </c>
      <c r="P103" s="54">
        <f t="shared" si="5"/>
        <v>372</v>
      </c>
      <c r="Q103" s="55">
        <f>Q102</f>
        <v>761</v>
      </c>
      <c r="R103" s="159"/>
      <c r="S103" s="165"/>
      <c r="T103" s="165"/>
      <c r="U103" s="43">
        <f t="shared" ref="U103:V103" si="103">U102</f>
        <v>188</v>
      </c>
      <c r="V103" s="43">
        <f t="shared" si="103"/>
        <v>29</v>
      </c>
      <c r="W103" s="163"/>
      <c r="X103" s="43" t="s">
        <v>45</v>
      </c>
      <c r="Y103" s="163"/>
      <c r="Z103" s="43" t="str">
        <f>Z102</f>
        <v>R</v>
      </c>
      <c r="AA103" s="163"/>
      <c r="AB103" s="44" t="str">
        <f>AB102</f>
        <v>M</v>
      </c>
      <c r="AC103" s="168"/>
      <c r="AD103" s="168"/>
    </row>
    <row r="104" spans="1:30" ht="15.75" customHeight="1" x14ac:dyDescent="0.2">
      <c r="A104" s="158">
        <v>50</v>
      </c>
      <c r="B104" s="31">
        <f>A104</f>
        <v>50</v>
      </c>
      <c r="C104" s="73" t="s">
        <v>82</v>
      </c>
      <c r="D104" s="33" t="s">
        <v>49</v>
      </c>
      <c r="E104" s="34">
        <v>147</v>
      </c>
      <c r="F104" s="35">
        <v>54</v>
      </c>
      <c r="G104" s="36">
        <v>5</v>
      </c>
      <c r="H104" s="37">
        <f t="shared" si="0"/>
        <v>201</v>
      </c>
      <c r="I104" s="34">
        <v>139</v>
      </c>
      <c r="J104" s="35">
        <v>59</v>
      </c>
      <c r="K104" s="36">
        <v>3</v>
      </c>
      <c r="L104" s="37">
        <f t="shared" si="1"/>
        <v>198</v>
      </c>
      <c r="M104" s="38">
        <f t="shared" si="2"/>
        <v>286</v>
      </c>
      <c r="N104" s="39">
        <f t="shared" si="3"/>
        <v>113</v>
      </c>
      <c r="O104" s="64">
        <f t="shared" si="4"/>
        <v>8</v>
      </c>
      <c r="P104" s="65">
        <f t="shared" si="5"/>
        <v>399</v>
      </c>
      <c r="Q104" s="42">
        <f>IF(P104="","",SUM(P104+P105))</f>
        <v>818</v>
      </c>
      <c r="R104" s="166">
        <f>Q104</f>
        <v>818</v>
      </c>
      <c r="S104" s="164">
        <f>F104+J104+F105+J105</f>
        <v>255</v>
      </c>
      <c r="T104" s="164">
        <f>IF(O104="","",SUM(O104+O105))</f>
        <v>15</v>
      </c>
      <c r="U104" s="43">
        <f t="shared" ref="U104:V104" si="104">S104</f>
        <v>255</v>
      </c>
      <c r="V104" s="43">
        <f t="shared" si="104"/>
        <v>15</v>
      </c>
      <c r="W104" s="162" t="s">
        <v>45</v>
      </c>
      <c r="X104" s="43" t="s">
        <v>45</v>
      </c>
      <c r="Y104" s="162" t="s">
        <v>50</v>
      </c>
      <c r="Z104" s="43" t="str">
        <f>Y104</f>
        <v>R</v>
      </c>
      <c r="AA104" s="162" t="s">
        <v>39</v>
      </c>
      <c r="AB104" s="44" t="str">
        <f>IF(AA104="M", "M", IF(AA104="Ž", "Ž", IF(AA104="S", "S", "")))</f>
        <v>M</v>
      </c>
      <c r="AC104" s="168"/>
      <c r="AD104" s="168"/>
    </row>
    <row r="105" spans="1:30" ht="15.75" customHeight="1" x14ac:dyDescent="0.2">
      <c r="A105" s="159"/>
      <c r="B105" s="45">
        <f>A104</f>
        <v>50</v>
      </c>
      <c r="C105" s="74" t="s">
        <v>53</v>
      </c>
      <c r="D105" s="47" t="s">
        <v>49</v>
      </c>
      <c r="E105" s="48">
        <v>135</v>
      </c>
      <c r="F105" s="49">
        <v>71</v>
      </c>
      <c r="G105" s="50">
        <v>5</v>
      </c>
      <c r="H105" s="51">
        <f t="shared" si="0"/>
        <v>206</v>
      </c>
      <c r="I105" s="48">
        <v>142</v>
      </c>
      <c r="J105" s="49">
        <v>71</v>
      </c>
      <c r="K105" s="50">
        <v>2</v>
      </c>
      <c r="L105" s="51">
        <f t="shared" si="1"/>
        <v>213</v>
      </c>
      <c r="M105" s="52">
        <f t="shared" si="2"/>
        <v>277</v>
      </c>
      <c r="N105" s="53">
        <f t="shared" si="3"/>
        <v>142</v>
      </c>
      <c r="O105" s="53">
        <f t="shared" si="4"/>
        <v>7</v>
      </c>
      <c r="P105" s="54">
        <f t="shared" si="5"/>
        <v>419</v>
      </c>
      <c r="Q105" s="55">
        <f>Q104</f>
        <v>818</v>
      </c>
      <c r="R105" s="159"/>
      <c r="S105" s="165"/>
      <c r="T105" s="165"/>
      <c r="U105" s="43">
        <f t="shared" ref="U105:V105" si="105">U104</f>
        <v>255</v>
      </c>
      <c r="V105" s="43">
        <f t="shared" si="105"/>
        <v>15</v>
      </c>
      <c r="W105" s="163"/>
      <c r="X105" s="43" t="s">
        <v>45</v>
      </c>
      <c r="Y105" s="163"/>
      <c r="Z105" s="43" t="str">
        <f>Z104</f>
        <v>R</v>
      </c>
      <c r="AA105" s="163"/>
      <c r="AB105" s="44" t="str">
        <f>AB104</f>
        <v>M</v>
      </c>
      <c r="AC105" s="168"/>
      <c r="AD105" s="168"/>
    </row>
    <row r="106" spans="1:30" ht="15.75" customHeight="1" x14ac:dyDescent="0.2">
      <c r="A106" s="158">
        <v>51</v>
      </c>
      <c r="B106" s="31">
        <f>A106</f>
        <v>51</v>
      </c>
      <c r="C106" s="68" t="s">
        <v>146</v>
      </c>
      <c r="D106" s="33" t="s">
        <v>49</v>
      </c>
      <c r="E106" s="34">
        <v>113</v>
      </c>
      <c r="F106" s="35">
        <v>35</v>
      </c>
      <c r="G106" s="36">
        <v>15</v>
      </c>
      <c r="H106" s="37">
        <f t="shared" si="0"/>
        <v>148</v>
      </c>
      <c r="I106" s="34">
        <v>114</v>
      </c>
      <c r="J106" s="35">
        <v>44</v>
      </c>
      <c r="K106" s="36">
        <v>11</v>
      </c>
      <c r="L106" s="37">
        <f t="shared" si="1"/>
        <v>158</v>
      </c>
      <c r="M106" s="38">
        <f t="shared" si="2"/>
        <v>227</v>
      </c>
      <c r="N106" s="39">
        <f t="shared" si="3"/>
        <v>79</v>
      </c>
      <c r="O106" s="64">
        <f t="shared" si="4"/>
        <v>26</v>
      </c>
      <c r="P106" s="65">
        <f t="shared" si="5"/>
        <v>306</v>
      </c>
      <c r="Q106" s="42">
        <f>IF(P106="","",SUM(P106+P107))</f>
        <v>720</v>
      </c>
      <c r="R106" s="166">
        <f>Q106</f>
        <v>720</v>
      </c>
      <c r="S106" s="164">
        <f>F106+J106+F107+J107</f>
        <v>202</v>
      </c>
      <c r="T106" s="164">
        <f>IF(O106="","",SUM(O106+O107))</f>
        <v>30</v>
      </c>
      <c r="U106" s="43">
        <f t="shared" ref="U106:V106" si="106">S106</f>
        <v>202</v>
      </c>
      <c r="V106" s="43">
        <f t="shared" si="106"/>
        <v>30</v>
      </c>
      <c r="W106" s="162" t="s">
        <v>45</v>
      </c>
      <c r="X106" s="43" t="s">
        <v>45</v>
      </c>
      <c r="Y106" s="162" t="s">
        <v>50</v>
      </c>
      <c r="Z106" s="43" t="str">
        <f>Y106</f>
        <v>R</v>
      </c>
      <c r="AA106" s="162" t="s">
        <v>46</v>
      </c>
      <c r="AB106" s="44" t="str">
        <f>IF(AA106="M", "M", IF(AA106="Ž", "Ž", IF(AA106="S", "S", "")))</f>
        <v>S</v>
      </c>
      <c r="AC106" s="168"/>
      <c r="AD106" s="168"/>
    </row>
    <row r="107" spans="1:30" ht="15.75" customHeight="1" x14ac:dyDescent="0.2">
      <c r="A107" s="159"/>
      <c r="B107" s="45">
        <f>A106</f>
        <v>51</v>
      </c>
      <c r="C107" s="67" t="s">
        <v>81</v>
      </c>
      <c r="D107" s="47" t="s">
        <v>49</v>
      </c>
      <c r="E107" s="48">
        <v>155</v>
      </c>
      <c r="F107" s="49">
        <v>60</v>
      </c>
      <c r="G107" s="50">
        <v>2</v>
      </c>
      <c r="H107" s="51">
        <f t="shared" si="0"/>
        <v>215</v>
      </c>
      <c r="I107" s="48">
        <v>136</v>
      </c>
      <c r="J107" s="49">
        <v>63</v>
      </c>
      <c r="K107" s="50">
        <v>2</v>
      </c>
      <c r="L107" s="51">
        <f t="shared" si="1"/>
        <v>199</v>
      </c>
      <c r="M107" s="52">
        <f t="shared" si="2"/>
        <v>291</v>
      </c>
      <c r="N107" s="53">
        <f t="shared" si="3"/>
        <v>123</v>
      </c>
      <c r="O107" s="53">
        <f t="shared" si="4"/>
        <v>4</v>
      </c>
      <c r="P107" s="54">
        <f t="shared" si="5"/>
        <v>414</v>
      </c>
      <c r="Q107" s="55">
        <f>Q106</f>
        <v>720</v>
      </c>
      <c r="R107" s="159"/>
      <c r="S107" s="165"/>
      <c r="T107" s="165"/>
      <c r="U107" s="43">
        <f t="shared" ref="U107:V107" si="107">U106</f>
        <v>202</v>
      </c>
      <c r="V107" s="43">
        <f t="shared" si="107"/>
        <v>30</v>
      </c>
      <c r="W107" s="163"/>
      <c r="X107" s="43" t="s">
        <v>45</v>
      </c>
      <c r="Y107" s="163"/>
      <c r="Z107" s="43" t="str">
        <f>Z106</f>
        <v>R</v>
      </c>
      <c r="AA107" s="163"/>
      <c r="AB107" s="44" t="str">
        <f>AB106</f>
        <v>S</v>
      </c>
      <c r="AC107" s="168"/>
      <c r="AD107" s="168"/>
    </row>
    <row r="108" spans="1:30" ht="15.75" customHeight="1" x14ac:dyDescent="0.2">
      <c r="A108" s="158">
        <v>52</v>
      </c>
      <c r="B108" s="31">
        <f>A108</f>
        <v>52</v>
      </c>
      <c r="C108" s="68" t="s">
        <v>147</v>
      </c>
      <c r="D108" s="33" t="s">
        <v>148</v>
      </c>
      <c r="E108" s="34">
        <v>144</v>
      </c>
      <c r="F108" s="35">
        <v>78</v>
      </c>
      <c r="G108" s="36">
        <v>2</v>
      </c>
      <c r="H108" s="37">
        <f t="shared" si="0"/>
        <v>222</v>
      </c>
      <c r="I108" s="34">
        <v>152</v>
      </c>
      <c r="J108" s="35">
        <v>45</v>
      </c>
      <c r="K108" s="36">
        <v>6</v>
      </c>
      <c r="L108" s="37">
        <f t="shared" si="1"/>
        <v>197</v>
      </c>
      <c r="M108" s="38">
        <f t="shared" si="2"/>
        <v>296</v>
      </c>
      <c r="N108" s="39">
        <f t="shared" si="3"/>
        <v>123</v>
      </c>
      <c r="O108" s="64">
        <f t="shared" si="4"/>
        <v>8</v>
      </c>
      <c r="P108" s="65">
        <f t="shared" si="5"/>
        <v>419</v>
      </c>
      <c r="Q108" s="42">
        <f>IF(P108="","",SUM(P108+P109))</f>
        <v>784</v>
      </c>
      <c r="R108" s="166">
        <f>Q108</f>
        <v>784</v>
      </c>
      <c r="S108" s="164">
        <f>F108+J108+F109+J109</f>
        <v>218</v>
      </c>
      <c r="T108" s="164">
        <f>IF(O108="","",SUM(O108+O109))</f>
        <v>18</v>
      </c>
      <c r="U108" s="43">
        <f t="shared" ref="U108:V108" si="108">S108</f>
        <v>218</v>
      </c>
      <c r="V108" s="43">
        <f t="shared" si="108"/>
        <v>18</v>
      </c>
      <c r="W108" s="162" t="s">
        <v>45</v>
      </c>
      <c r="X108" s="43" t="s">
        <v>45</v>
      </c>
      <c r="Y108" s="162" t="s">
        <v>38</v>
      </c>
      <c r="Z108" s="43" t="str">
        <f>Y108</f>
        <v>N</v>
      </c>
      <c r="AA108" s="162" t="s">
        <v>39</v>
      </c>
      <c r="AB108" s="44" t="str">
        <f>IF(AA108="M", "M", IF(AA108="Ž", "Ž", IF(AA108="S", "S", "")))</f>
        <v>M</v>
      </c>
      <c r="AC108" s="168"/>
      <c r="AD108" s="168"/>
    </row>
    <row r="109" spans="1:30" ht="15.75" customHeight="1" x14ac:dyDescent="0.2">
      <c r="A109" s="159"/>
      <c r="B109" s="45">
        <f>A108</f>
        <v>52</v>
      </c>
      <c r="C109" s="67" t="s">
        <v>149</v>
      </c>
      <c r="D109" s="47" t="s">
        <v>148</v>
      </c>
      <c r="E109" s="48">
        <v>130</v>
      </c>
      <c r="F109" s="49">
        <v>50</v>
      </c>
      <c r="G109" s="50">
        <v>3</v>
      </c>
      <c r="H109" s="51">
        <f t="shared" si="0"/>
        <v>180</v>
      </c>
      <c r="I109" s="48">
        <v>140</v>
      </c>
      <c r="J109" s="49">
        <v>45</v>
      </c>
      <c r="K109" s="50">
        <v>7</v>
      </c>
      <c r="L109" s="51">
        <f t="shared" si="1"/>
        <v>185</v>
      </c>
      <c r="M109" s="52">
        <f t="shared" si="2"/>
        <v>270</v>
      </c>
      <c r="N109" s="53">
        <f t="shared" si="3"/>
        <v>95</v>
      </c>
      <c r="O109" s="53">
        <f t="shared" si="4"/>
        <v>10</v>
      </c>
      <c r="P109" s="54">
        <f t="shared" si="5"/>
        <v>365</v>
      </c>
      <c r="Q109" s="55">
        <f>Q108</f>
        <v>784</v>
      </c>
      <c r="R109" s="159"/>
      <c r="S109" s="165"/>
      <c r="T109" s="165"/>
      <c r="U109" s="43">
        <f t="shared" ref="U109:V109" si="109">U108</f>
        <v>218</v>
      </c>
      <c r="V109" s="43">
        <f t="shared" si="109"/>
        <v>18</v>
      </c>
      <c r="W109" s="163"/>
      <c r="X109" s="43" t="s">
        <v>45</v>
      </c>
      <c r="Y109" s="163"/>
      <c r="Z109" s="43" t="str">
        <f>Z108</f>
        <v>N</v>
      </c>
      <c r="AA109" s="163"/>
      <c r="AB109" s="44" t="str">
        <f>AB108</f>
        <v>M</v>
      </c>
      <c r="AC109" s="168"/>
      <c r="AD109" s="168"/>
    </row>
    <row r="110" spans="1:30" ht="15.75" customHeight="1" x14ac:dyDescent="0.2">
      <c r="A110" s="158">
        <v>53</v>
      </c>
      <c r="B110" s="31">
        <f>A110</f>
        <v>53</v>
      </c>
      <c r="C110" s="68"/>
      <c r="D110" s="33"/>
      <c r="E110" s="34"/>
      <c r="F110" s="35"/>
      <c r="G110" s="36"/>
      <c r="H110" s="37" t="str">
        <f t="shared" si="0"/>
        <v/>
      </c>
      <c r="I110" s="34"/>
      <c r="J110" s="35"/>
      <c r="K110" s="36"/>
      <c r="L110" s="37" t="str">
        <f t="shared" si="1"/>
        <v/>
      </c>
      <c r="M110" s="38" t="str">
        <f t="shared" si="2"/>
        <v/>
      </c>
      <c r="N110" s="39" t="str">
        <f t="shared" si="3"/>
        <v/>
      </c>
      <c r="O110" s="64">
        <f t="shared" si="4"/>
        <v>0</v>
      </c>
      <c r="P110" s="65">
        <f t="shared" si="5"/>
        <v>0</v>
      </c>
      <c r="Q110" s="42">
        <f>IF(P110="","",SUM(P110+P111))</f>
        <v>0</v>
      </c>
      <c r="R110" s="166">
        <f>Q110</f>
        <v>0</v>
      </c>
      <c r="S110" s="164">
        <f>F110+J110+F111+J111</f>
        <v>0</v>
      </c>
      <c r="T110" s="164">
        <f>IF(O110="","",SUM(O110+O111))</f>
        <v>0</v>
      </c>
      <c r="U110" s="43">
        <f t="shared" ref="U110:V110" si="110">S110</f>
        <v>0</v>
      </c>
      <c r="V110" s="43">
        <f t="shared" si="110"/>
        <v>0</v>
      </c>
      <c r="W110" s="162"/>
      <c r="X110" s="43"/>
      <c r="Y110" s="162"/>
      <c r="Z110" s="43">
        <f>Y110</f>
        <v>0</v>
      </c>
      <c r="AA110" s="162"/>
      <c r="AB110" s="44" t="str">
        <f>IF(AA110="M", "M", IF(AA110="Ž", "Ž", IF(AA110="S", "S", "")))</f>
        <v/>
      </c>
      <c r="AC110" s="168"/>
      <c r="AD110" s="168"/>
    </row>
    <row r="111" spans="1:30" ht="15.75" customHeight="1" x14ac:dyDescent="0.2">
      <c r="A111" s="159"/>
      <c r="B111" s="45">
        <f>A110</f>
        <v>53</v>
      </c>
      <c r="C111" s="67"/>
      <c r="D111" s="47"/>
      <c r="E111" s="48"/>
      <c r="F111" s="49"/>
      <c r="G111" s="50"/>
      <c r="H111" s="51" t="str">
        <f t="shared" si="0"/>
        <v/>
      </c>
      <c r="I111" s="48"/>
      <c r="J111" s="49"/>
      <c r="K111" s="50"/>
      <c r="L111" s="51" t="str">
        <f t="shared" si="1"/>
        <v/>
      </c>
      <c r="M111" s="52" t="str">
        <f t="shared" si="2"/>
        <v/>
      </c>
      <c r="N111" s="53" t="str">
        <f t="shared" si="3"/>
        <v/>
      </c>
      <c r="O111" s="53">
        <f t="shared" si="4"/>
        <v>0</v>
      </c>
      <c r="P111" s="54">
        <f t="shared" si="5"/>
        <v>0</v>
      </c>
      <c r="Q111" s="55">
        <f>Q110</f>
        <v>0</v>
      </c>
      <c r="R111" s="159"/>
      <c r="S111" s="165"/>
      <c r="T111" s="165"/>
      <c r="U111" s="43">
        <f t="shared" ref="U111:V111" si="111">U110</f>
        <v>0</v>
      </c>
      <c r="V111" s="43">
        <f t="shared" si="111"/>
        <v>0</v>
      </c>
      <c r="W111" s="163"/>
      <c r="X111" s="43"/>
      <c r="Y111" s="163"/>
      <c r="Z111" s="43">
        <f>Z110</f>
        <v>0</v>
      </c>
      <c r="AA111" s="163"/>
      <c r="AB111" s="44" t="str">
        <f>AB110</f>
        <v/>
      </c>
      <c r="AC111" s="168"/>
      <c r="AD111" s="168"/>
    </row>
    <row r="112" spans="1:30" ht="15.75" customHeight="1" x14ac:dyDescent="0.2">
      <c r="A112" s="158">
        <v>54</v>
      </c>
      <c r="B112" s="31">
        <f>A112</f>
        <v>54</v>
      </c>
      <c r="C112" s="68"/>
      <c r="D112" s="33"/>
      <c r="E112" s="34"/>
      <c r="F112" s="35"/>
      <c r="G112" s="36"/>
      <c r="H112" s="37" t="str">
        <f t="shared" si="0"/>
        <v/>
      </c>
      <c r="I112" s="34"/>
      <c r="J112" s="35"/>
      <c r="K112" s="36"/>
      <c r="L112" s="37" t="str">
        <f t="shared" si="1"/>
        <v/>
      </c>
      <c r="M112" s="38" t="str">
        <f t="shared" si="2"/>
        <v/>
      </c>
      <c r="N112" s="39" t="str">
        <f t="shared" si="3"/>
        <v/>
      </c>
      <c r="O112" s="64">
        <f t="shared" si="4"/>
        <v>0</v>
      </c>
      <c r="P112" s="65">
        <f t="shared" si="5"/>
        <v>0</v>
      </c>
      <c r="Q112" s="42">
        <f>IF(P112="","",SUM(P112+P113))</f>
        <v>0</v>
      </c>
      <c r="R112" s="166">
        <f>Q112</f>
        <v>0</v>
      </c>
      <c r="S112" s="164">
        <f>F112+J112+F113+J113</f>
        <v>0</v>
      </c>
      <c r="T112" s="164">
        <f>IF(O112="","",SUM(O112+O113))</f>
        <v>0</v>
      </c>
      <c r="U112" s="43">
        <f t="shared" ref="U112:V112" si="112">S112</f>
        <v>0</v>
      </c>
      <c r="V112" s="43">
        <f t="shared" si="112"/>
        <v>0</v>
      </c>
      <c r="W112" s="162"/>
      <c r="X112" s="43"/>
      <c r="Y112" s="162"/>
      <c r="Z112" s="43">
        <f>Y112</f>
        <v>0</v>
      </c>
      <c r="AA112" s="162"/>
      <c r="AB112" s="44" t="str">
        <f>IF(AA112="M", "M", IF(AA112="Ž", "Ž", IF(AA112="S", "S", "")))</f>
        <v/>
      </c>
      <c r="AC112" s="168"/>
      <c r="AD112" s="168"/>
    </row>
    <row r="113" spans="1:30" ht="15.75" customHeight="1" x14ac:dyDescent="0.2">
      <c r="A113" s="159"/>
      <c r="B113" s="45">
        <f>A112</f>
        <v>54</v>
      </c>
      <c r="C113" s="67"/>
      <c r="D113" s="47"/>
      <c r="E113" s="48"/>
      <c r="F113" s="49"/>
      <c r="G113" s="50"/>
      <c r="H113" s="51" t="str">
        <f t="shared" si="0"/>
        <v/>
      </c>
      <c r="I113" s="48"/>
      <c r="J113" s="49"/>
      <c r="K113" s="50"/>
      <c r="L113" s="51" t="str">
        <f t="shared" si="1"/>
        <v/>
      </c>
      <c r="M113" s="52" t="str">
        <f t="shared" si="2"/>
        <v/>
      </c>
      <c r="N113" s="53" t="str">
        <f t="shared" si="3"/>
        <v/>
      </c>
      <c r="O113" s="53">
        <f t="shared" si="4"/>
        <v>0</v>
      </c>
      <c r="P113" s="54">
        <f t="shared" si="5"/>
        <v>0</v>
      </c>
      <c r="Q113" s="55">
        <f>Q112</f>
        <v>0</v>
      </c>
      <c r="R113" s="159"/>
      <c r="S113" s="165"/>
      <c r="T113" s="165"/>
      <c r="U113" s="43">
        <f t="shared" ref="U113:V113" si="113">U112</f>
        <v>0</v>
      </c>
      <c r="V113" s="43">
        <f t="shared" si="113"/>
        <v>0</v>
      </c>
      <c r="W113" s="163"/>
      <c r="X113" s="43"/>
      <c r="Y113" s="163"/>
      <c r="Z113" s="43">
        <f>Z112</f>
        <v>0</v>
      </c>
      <c r="AA113" s="163"/>
      <c r="AB113" s="44" t="str">
        <f>AB112</f>
        <v/>
      </c>
      <c r="AC113" s="168"/>
      <c r="AD113" s="168"/>
    </row>
    <row r="114" spans="1:30" ht="15.75" customHeight="1" x14ac:dyDescent="0.2">
      <c r="A114" s="158">
        <v>55</v>
      </c>
      <c r="B114" s="31">
        <f>A114</f>
        <v>55</v>
      </c>
      <c r="C114" s="68"/>
      <c r="D114" s="33"/>
      <c r="E114" s="34"/>
      <c r="F114" s="35"/>
      <c r="G114" s="36"/>
      <c r="H114" s="37" t="str">
        <f t="shared" si="0"/>
        <v/>
      </c>
      <c r="I114" s="34"/>
      <c r="J114" s="35"/>
      <c r="K114" s="36"/>
      <c r="L114" s="37" t="str">
        <f t="shared" si="1"/>
        <v/>
      </c>
      <c r="M114" s="38" t="str">
        <f t="shared" si="2"/>
        <v/>
      </c>
      <c r="N114" s="39" t="str">
        <f t="shared" si="3"/>
        <v/>
      </c>
      <c r="O114" s="64">
        <f t="shared" si="4"/>
        <v>0</v>
      </c>
      <c r="P114" s="65">
        <f t="shared" si="5"/>
        <v>0</v>
      </c>
      <c r="Q114" s="42">
        <f>IF(P114="","",SUM(P114+P115))</f>
        <v>0</v>
      </c>
      <c r="R114" s="166">
        <f>Q114</f>
        <v>0</v>
      </c>
      <c r="S114" s="164">
        <f>F114+J114+F115+J115</f>
        <v>0</v>
      </c>
      <c r="T114" s="164">
        <f>IF(O114="","",SUM(O114+O115))</f>
        <v>0</v>
      </c>
      <c r="U114" s="43">
        <f t="shared" ref="U114:V114" si="114">S114</f>
        <v>0</v>
      </c>
      <c r="V114" s="43">
        <f t="shared" si="114"/>
        <v>0</v>
      </c>
      <c r="W114" s="162"/>
      <c r="X114" s="43"/>
      <c r="Y114" s="162"/>
      <c r="Z114" s="43">
        <f>Y114</f>
        <v>0</v>
      </c>
      <c r="AA114" s="7"/>
      <c r="AB114" s="44" t="str">
        <f>IF(AA114="M", "M", IF(AA114="Ž", "Ž", IF(AA114="S", "S", "")))</f>
        <v/>
      </c>
      <c r="AC114" s="168"/>
      <c r="AD114" s="168"/>
    </row>
    <row r="115" spans="1:30" ht="15.75" customHeight="1" x14ac:dyDescent="0.2">
      <c r="A115" s="159"/>
      <c r="B115" s="45">
        <f>A114</f>
        <v>55</v>
      </c>
      <c r="C115" s="67"/>
      <c r="D115" s="47"/>
      <c r="E115" s="48"/>
      <c r="F115" s="49"/>
      <c r="G115" s="50"/>
      <c r="H115" s="51" t="str">
        <f t="shared" si="0"/>
        <v/>
      </c>
      <c r="I115" s="48"/>
      <c r="J115" s="49"/>
      <c r="K115" s="50"/>
      <c r="L115" s="51" t="str">
        <f t="shared" si="1"/>
        <v/>
      </c>
      <c r="M115" s="52" t="str">
        <f t="shared" si="2"/>
        <v/>
      </c>
      <c r="N115" s="53" t="str">
        <f t="shared" si="3"/>
        <v/>
      </c>
      <c r="O115" s="53">
        <f t="shared" si="4"/>
        <v>0</v>
      </c>
      <c r="P115" s="54">
        <f t="shared" si="5"/>
        <v>0</v>
      </c>
      <c r="Q115" s="55">
        <f>Q114</f>
        <v>0</v>
      </c>
      <c r="R115" s="159"/>
      <c r="S115" s="165"/>
      <c r="T115" s="165"/>
      <c r="U115" s="43">
        <f t="shared" ref="U115:V115" si="115">U114</f>
        <v>0</v>
      </c>
      <c r="V115" s="43">
        <f t="shared" si="115"/>
        <v>0</v>
      </c>
      <c r="W115" s="163"/>
      <c r="X115" s="43"/>
      <c r="Y115" s="163"/>
      <c r="Z115" s="43">
        <f>Z114</f>
        <v>0</v>
      </c>
      <c r="AA115" s="75"/>
      <c r="AB115" s="44" t="str">
        <f>AB114</f>
        <v/>
      </c>
      <c r="AC115" s="168"/>
      <c r="AD115" s="168"/>
    </row>
    <row r="116" spans="1:30" ht="15.75" customHeight="1" x14ac:dyDescent="0.2">
      <c r="A116" s="158">
        <v>56</v>
      </c>
      <c r="B116" s="31">
        <f>A116</f>
        <v>56</v>
      </c>
      <c r="C116" s="68"/>
      <c r="D116" s="33"/>
      <c r="E116" s="34"/>
      <c r="F116" s="35"/>
      <c r="G116" s="36"/>
      <c r="H116" s="62" t="str">
        <f t="shared" si="0"/>
        <v/>
      </c>
      <c r="I116" s="34"/>
      <c r="J116" s="35"/>
      <c r="K116" s="36"/>
      <c r="L116" s="62" t="str">
        <f t="shared" si="1"/>
        <v/>
      </c>
      <c r="M116" s="63" t="str">
        <f t="shared" si="2"/>
        <v/>
      </c>
      <c r="N116" s="64" t="str">
        <f t="shared" si="3"/>
        <v/>
      </c>
      <c r="O116" s="64">
        <f t="shared" si="4"/>
        <v>0</v>
      </c>
      <c r="P116" s="65">
        <f t="shared" si="5"/>
        <v>0</v>
      </c>
      <c r="Q116" s="42">
        <f>IF(P116="","",SUM(P116+P117))</f>
        <v>0</v>
      </c>
      <c r="R116" s="166">
        <f>Q116</f>
        <v>0</v>
      </c>
      <c r="S116" s="164">
        <f>F116+J116+F117+J117</f>
        <v>0</v>
      </c>
      <c r="T116" s="164">
        <f>IF(O116="","",SUM(O116+O117))</f>
        <v>0</v>
      </c>
      <c r="U116" s="43">
        <f t="shared" ref="U116:V116" si="116">S116</f>
        <v>0</v>
      </c>
      <c r="V116" s="43">
        <f t="shared" si="116"/>
        <v>0</v>
      </c>
      <c r="W116" s="162"/>
      <c r="X116" s="43"/>
      <c r="Y116" s="162"/>
      <c r="Z116" s="43">
        <f>Y116</f>
        <v>0</v>
      </c>
      <c r="AA116" s="7"/>
      <c r="AB116" s="44" t="str">
        <f>IF(AA116="M", "M", IF(AA116="Ž", "Ž", IF(AA116="S", "S", "")))</f>
        <v/>
      </c>
      <c r="AC116" s="168"/>
      <c r="AD116" s="168"/>
    </row>
    <row r="117" spans="1:30" ht="15.75" customHeight="1" x14ac:dyDescent="0.2">
      <c r="A117" s="159"/>
      <c r="B117" s="45">
        <f>A116</f>
        <v>56</v>
      </c>
      <c r="C117" s="67"/>
      <c r="D117" s="47"/>
      <c r="E117" s="48"/>
      <c r="F117" s="49"/>
      <c r="G117" s="50"/>
      <c r="H117" s="51" t="str">
        <f t="shared" si="0"/>
        <v/>
      </c>
      <c r="I117" s="48"/>
      <c r="J117" s="49"/>
      <c r="K117" s="50"/>
      <c r="L117" s="51" t="str">
        <f t="shared" si="1"/>
        <v/>
      </c>
      <c r="M117" s="52" t="str">
        <f t="shared" si="2"/>
        <v/>
      </c>
      <c r="N117" s="53" t="str">
        <f t="shared" si="3"/>
        <v/>
      </c>
      <c r="O117" s="53">
        <f t="shared" si="4"/>
        <v>0</v>
      </c>
      <c r="P117" s="54">
        <f t="shared" si="5"/>
        <v>0</v>
      </c>
      <c r="Q117" s="55">
        <f>Q116</f>
        <v>0</v>
      </c>
      <c r="R117" s="159"/>
      <c r="S117" s="165"/>
      <c r="T117" s="165"/>
      <c r="U117" s="43">
        <f t="shared" ref="U117:V117" si="117">U116</f>
        <v>0</v>
      </c>
      <c r="V117" s="43">
        <f t="shared" si="117"/>
        <v>0</v>
      </c>
      <c r="W117" s="163"/>
      <c r="X117" s="43"/>
      <c r="Y117" s="163"/>
      <c r="Z117" s="43">
        <f>Z116</f>
        <v>0</v>
      </c>
      <c r="AA117" s="75"/>
      <c r="AB117" s="44" t="str">
        <f>AB116</f>
        <v/>
      </c>
      <c r="AC117" s="168"/>
      <c r="AD117" s="168"/>
    </row>
    <row r="118" spans="1:30" ht="15.75" customHeight="1" x14ac:dyDescent="0.2">
      <c r="A118" s="158">
        <v>57</v>
      </c>
      <c r="B118" s="31">
        <f>A118</f>
        <v>57</v>
      </c>
      <c r="C118" s="68"/>
      <c r="D118" s="33"/>
      <c r="E118" s="34"/>
      <c r="F118" s="35"/>
      <c r="G118" s="36"/>
      <c r="H118" s="62" t="str">
        <f t="shared" si="0"/>
        <v/>
      </c>
      <c r="I118" s="34"/>
      <c r="J118" s="35"/>
      <c r="K118" s="36"/>
      <c r="L118" s="62" t="str">
        <f t="shared" si="1"/>
        <v/>
      </c>
      <c r="M118" s="63" t="str">
        <f t="shared" si="2"/>
        <v/>
      </c>
      <c r="N118" s="64" t="str">
        <f t="shared" si="3"/>
        <v/>
      </c>
      <c r="O118" s="64">
        <f t="shared" si="4"/>
        <v>0</v>
      </c>
      <c r="P118" s="65">
        <f t="shared" si="5"/>
        <v>0</v>
      </c>
      <c r="Q118" s="42">
        <f>IF(P118="","",SUM(P118+P119))</f>
        <v>0</v>
      </c>
      <c r="R118" s="166">
        <f>Q118</f>
        <v>0</v>
      </c>
      <c r="S118" s="164">
        <f>F118+J118+F119+J119</f>
        <v>0</v>
      </c>
      <c r="T118" s="164">
        <f>IF(O118="","",SUM(O118+O119))</f>
        <v>0</v>
      </c>
      <c r="U118" s="43">
        <f t="shared" ref="U118:V118" si="118">S118</f>
        <v>0</v>
      </c>
      <c r="V118" s="43">
        <f t="shared" si="118"/>
        <v>0</v>
      </c>
      <c r="W118" s="162"/>
      <c r="X118" s="43"/>
      <c r="Y118" s="162"/>
      <c r="Z118" s="43">
        <f>Y118</f>
        <v>0</v>
      </c>
      <c r="AA118" s="7"/>
      <c r="AB118" s="44" t="str">
        <f>IF(AA118="M", "M", IF(AA118="Ž", "Ž", IF(AA118="S", "S", "")))</f>
        <v/>
      </c>
      <c r="AC118" s="168"/>
      <c r="AD118" s="168"/>
    </row>
    <row r="119" spans="1:30" ht="15.75" customHeight="1" x14ac:dyDescent="0.2">
      <c r="A119" s="159"/>
      <c r="B119" s="45">
        <f>A118</f>
        <v>57</v>
      </c>
      <c r="C119" s="67"/>
      <c r="D119" s="47"/>
      <c r="E119" s="48"/>
      <c r="F119" s="49"/>
      <c r="G119" s="50"/>
      <c r="H119" s="51" t="str">
        <f t="shared" si="0"/>
        <v/>
      </c>
      <c r="I119" s="48"/>
      <c r="J119" s="49"/>
      <c r="K119" s="50"/>
      <c r="L119" s="51" t="str">
        <f t="shared" si="1"/>
        <v/>
      </c>
      <c r="M119" s="52" t="str">
        <f t="shared" si="2"/>
        <v/>
      </c>
      <c r="N119" s="53" t="str">
        <f t="shared" si="3"/>
        <v/>
      </c>
      <c r="O119" s="53">
        <f t="shared" si="4"/>
        <v>0</v>
      </c>
      <c r="P119" s="54">
        <f t="shared" si="5"/>
        <v>0</v>
      </c>
      <c r="Q119" s="55">
        <f>Q118</f>
        <v>0</v>
      </c>
      <c r="R119" s="159"/>
      <c r="S119" s="165"/>
      <c r="T119" s="165"/>
      <c r="U119" s="43">
        <f t="shared" ref="U119:V119" si="119">U118</f>
        <v>0</v>
      </c>
      <c r="V119" s="43">
        <f t="shared" si="119"/>
        <v>0</v>
      </c>
      <c r="W119" s="163"/>
      <c r="X119" s="43"/>
      <c r="Y119" s="163"/>
      <c r="Z119" s="43">
        <f>Z118</f>
        <v>0</v>
      </c>
      <c r="AA119" s="75"/>
      <c r="AB119" s="44" t="str">
        <f>AB118</f>
        <v/>
      </c>
      <c r="AC119" s="168"/>
      <c r="AD119" s="168"/>
    </row>
    <row r="120" spans="1:30" ht="15.75" customHeight="1" x14ac:dyDescent="0.2">
      <c r="A120" s="158">
        <v>58</v>
      </c>
      <c r="B120" s="31">
        <f>A120</f>
        <v>58</v>
      </c>
      <c r="C120" s="68"/>
      <c r="D120" s="33"/>
      <c r="E120" s="34"/>
      <c r="F120" s="35"/>
      <c r="G120" s="36"/>
      <c r="H120" s="62" t="str">
        <f t="shared" si="0"/>
        <v/>
      </c>
      <c r="I120" s="34"/>
      <c r="J120" s="35"/>
      <c r="K120" s="36"/>
      <c r="L120" s="62" t="str">
        <f t="shared" si="1"/>
        <v/>
      </c>
      <c r="M120" s="63" t="str">
        <f t="shared" si="2"/>
        <v/>
      </c>
      <c r="N120" s="64" t="str">
        <f t="shared" si="3"/>
        <v/>
      </c>
      <c r="O120" s="64">
        <f t="shared" si="4"/>
        <v>0</v>
      </c>
      <c r="P120" s="65">
        <f t="shared" si="5"/>
        <v>0</v>
      </c>
      <c r="Q120" s="42">
        <f>IF(P120="","",SUM(P120+P121))</f>
        <v>0</v>
      </c>
      <c r="R120" s="166">
        <f>Q120</f>
        <v>0</v>
      </c>
      <c r="S120" s="164">
        <f>F120+J120+F121+J121</f>
        <v>0</v>
      </c>
      <c r="T120" s="164">
        <f>IF(O120="","",SUM(O120+O121))</f>
        <v>0</v>
      </c>
      <c r="U120" s="43">
        <f t="shared" ref="U120:V120" si="120">S120</f>
        <v>0</v>
      </c>
      <c r="V120" s="43">
        <f t="shared" si="120"/>
        <v>0</v>
      </c>
      <c r="W120" s="162"/>
      <c r="X120" s="43"/>
      <c r="Y120" s="162"/>
      <c r="Z120" s="43">
        <f>Y120</f>
        <v>0</v>
      </c>
      <c r="AA120" s="7"/>
      <c r="AB120" s="44" t="str">
        <f>IF(AA120="M", "M", IF(AA120="Ž", "Ž", IF(AA120="S", "S", "")))</f>
        <v/>
      </c>
      <c r="AC120" s="168"/>
      <c r="AD120" s="168"/>
    </row>
    <row r="121" spans="1:30" ht="15.75" customHeight="1" x14ac:dyDescent="0.2">
      <c r="A121" s="159"/>
      <c r="B121" s="45">
        <f>A120</f>
        <v>58</v>
      </c>
      <c r="C121" s="67"/>
      <c r="D121" s="47"/>
      <c r="E121" s="48"/>
      <c r="F121" s="49"/>
      <c r="G121" s="50"/>
      <c r="H121" s="51" t="str">
        <f t="shared" si="0"/>
        <v/>
      </c>
      <c r="I121" s="48"/>
      <c r="J121" s="49"/>
      <c r="K121" s="50"/>
      <c r="L121" s="51" t="str">
        <f t="shared" si="1"/>
        <v/>
      </c>
      <c r="M121" s="52" t="str">
        <f t="shared" si="2"/>
        <v/>
      </c>
      <c r="N121" s="53" t="str">
        <f t="shared" si="3"/>
        <v/>
      </c>
      <c r="O121" s="53">
        <f t="shared" si="4"/>
        <v>0</v>
      </c>
      <c r="P121" s="54">
        <f t="shared" si="5"/>
        <v>0</v>
      </c>
      <c r="Q121" s="55">
        <f>Q120</f>
        <v>0</v>
      </c>
      <c r="R121" s="159"/>
      <c r="S121" s="165"/>
      <c r="T121" s="165"/>
      <c r="U121" s="43">
        <f t="shared" ref="U121:V121" si="121">U120</f>
        <v>0</v>
      </c>
      <c r="V121" s="43">
        <f t="shared" si="121"/>
        <v>0</v>
      </c>
      <c r="W121" s="163"/>
      <c r="X121" s="43"/>
      <c r="Y121" s="163"/>
      <c r="Z121" s="43">
        <f>Z120</f>
        <v>0</v>
      </c>
      <c r="AA121" s="75"/>
      <c r="AB121" s="44" t="str">
        <f>AB120</f>
        <v/>
      </c>
      <c r="AC121" s="168"/>
      <c r="AD121" s="168"/>
    </row>
    <row r="122" spans="1:30" ht="15.75" customHeight="1" x14ac:dyDescent="0.2">
      <c r="A122" s="158">
        <v>59</v>
      </c>
      <c r="B122" s="31">
        <f>A122</f>
        <v>59</v>
      </c>
      <c r="C122" s="68"/>
      <c r="D122" s="33"/>
      <c r="E122" s="34"/>
      <c r="F122" s="35"/>
      <c r="G122" s="36"/>
      <c r="H122" s="62" t="str">
        <f t="shared" si="0"/>
        <v/>
      </c>
      <c r="I122" s="34"/>
      <c r="J122" s="35"/>
      <c r="K122" s="36"/>
      <c r="L122" s="62" t="str">
        <f t="shared" si="1"/>
        <v/>
      </c>
      <c r="M122" s="63" t="str">
        <f t="shared" si="2"/>
        <v/>
      </c>
      <c r="N122" s="64" t="str">
        <f t="shared" si="3"/>
        <v/>
      </c>
      <c r="O122" s="64">
        <f t="shared" si="4"/>
        <v>0</v>
      </c>
      <c r="P122" s="65">
        <f t="shared" si="5"/>
        <v>0</v>
      </c>
      <c r="Q122" s="42">
        <f>IF(P122="","",SUM(P122+P123))</f>
        <v>0</v>
      </c>
      <c r="R122" s="166">
        <f>Q122</f>
        <v>0</v>
      </c>
      <c r="S122" s="164">
        <f>F122+J122+F123+J123</f>
        <v>0</v>
      </c>
      <c r="T122" s="164">
        <f>IF(O122="","",SUM(O122+O123))</f>
        <v>0</v>
      </c>
      <c r="U122" s="43">
        <f t="shared" ref="U122:V122" si="122">S122</f>
        <v>0</v>
      </c>
      <c r="V122" s="43">
        <f t="shared" si="122"/>
        <v>0</v>
      </c>
      <c r="W122" s="162"/>
      <c r="X122" s="43"/>
      <c r="Y122" s="162"/>
      <c r="Z122" s="43">
        <f>Y122</f>
        <v>0</v>
      </c>
      <c r="AA122" s="6"/>
      <c r="AB122" s="44" t="str">
        <f>IF(AA122="M", "M", IF(AA122="Ž", "Ž", IF(AA122="S", "S", "")))</f>
        <v/>
      </c>
      <c r="AC122" s="168"/>
      <c r="AD122" s="168"/>
    </row>
    <row r="123" spans="1:30" ht="15.75" customHeight="1" x14ac:dyDescent="0.2">
      <c r="A123" s="159"/>
      <c r="B123" s="45">
        <f>A122</f>
        <v>59</v>
      </c>
      <c r="C123" s="67"/>
      <c r="D123" s="47"/>
      <c r="E123" s="48"/>
      <c r="F123" s="49"/>
      <c r="G123" s="50"/>
      <c r="H123" s="51" t="str">
        <f t="shared" si="0"/>
        <v/>
      </c>
      <c r="I123" s="48"/>
      <c r="J123" s="49"/>
      <c r="K123" s="50"/>
      <c r="L123" s="51" t="str">
        <f t="shared" si="1"/>
        <v/>
      </c>
      <c r="M123" s="52" t="str">
        <f t="shared" si="2"/>
        <v/>
      </c>
      <c r="N123" s="53" t="str">
        <f t="shared" si="3"/>
        <v/>
      </c>
      <c r="O123" s="53">
        <f t="shared" si="4"/>
        <v>0</v>
      </c>
      <c r="P123" s="54">
        <f t="shared" si="5"/>
        <v>0</v>
      </c>
      <c r="Q123" s="55">
        <f>Q122</f>
        <v>0</v>
      </c>
      <c r="R123" s="159"/>
      <c r="S123" s="165"/>
      <c r="T123" s="165"/>
      <c r="U123" s="43">
        <f t="shared" ref="U123:V123" si="123">U122</f>
        <v>0</v>
      </c>
      <c r="V123" s="43">
        <f t="shared" si="123"/>
        <v>0</v>
      </c>
      <c r="W123" s="163"/>
      <c r="X123" s="43"/>
      <c r="Y123" s="163"/>
      <c r="Z123" s="43">
        <f>Z122</f>
        <v>0</v>
      </c>
      <c r="AA123" s="76"/>
      <c r="AB123" s="44" t="str">
        <f>AB122</f>
        <v/>
      </c>
      <c r="AC123" s="168"/>
      <c r="AD123" s="168"/>
    </row>
    <row r="124" spans="1:30" ht="15.75" customHeight="1" x14ac:dyDescent="0.2">
      <c r="A124" s="158">
        <v>60</v>
      </c>
      <c r="B124" s="31">
        <f>A124</f>
        <v>60</v>
      </c>
      <c r="C124" s="68"/>
      <c r="D124" s="33"/>
      <c r="E124" s="34"/>
      <c r="F124" s="35"/>
      <c r="G124" s="36"/>
      <c r="H124" s="62" t="str">
        <f t="shared" si="0"/>
        <v/>
      </c>
      <c r="I124" s="34"/>
      <c r="J124" s="35"/>
      <c r="K124" s="36"/>
      <c r="L124" s="62" t="str">
        <f t="shared" si="1"/>
        <v/>
      </c>
      <c r="M124" s="63" t="str">
        <f t="shared" si="2"/>
        <v/>
      </c>
      <c r="N124" s="64" t="str">
        <f t="shared" si="3"/>
        <v/>
      </c>
      <c r="O124" s="64">
        <f t="shared" si="4"/>
        <v>0</v>
      </c>
      <c r="P124" s="65">
        <f t="shared" si="5"/>
        <v>0</v>
      </c>
      <c r="Q124" s="42">
        <f>IF(P124="","",SUM(P124+P125))</f>
        <v>0</v>
      </c>
      <c r="R124" s="166">
        <f>Q124</f>
        <v>0</v>
      </c>
      <c r="S124" s="164">
        <f>F124+J124+F125+J125</f>
        <v>0</v>
      </c>
      <c r="T124" s="164">
        <f>IF(O124="","",SUM(O124+O125))</f>
        <v>0</v>
      </c>
      <c r="U124" s="43">
        <f t="shared" ref="U124:V124" si="124">S124</f>
        <v>0</v>
      </c>
      <c r="V124" s="43">
        <f t="shared" si="124"/>
        <v>0</v>
      </c>
      <c r="W124" s="162"/>
      <c r="X124" s="43"/>
      <c r="Y124" s="162"/>
      <c r="Z124" s="43">
        <f>Y124</f>
        <v>0</v>
      </c>
      <c r="AA124" s="7"/>
      <c r="AB124" s="44" t="str">
        <f>IF(AA124="M", "M", IF(AA124="Ž", "Ž", IF(AA124="S", "S", "")))</f>
        <v/>
      </c>
      <c r="AC124" s="168"/>
      <c r="AD124" s="168"/>
    </row>
    <row r="125" spans="1:30" ht="15.75" customHeight="1" x14ac:dyDescent="0.2">
      <c r="A125" s="159"/>
      <c r="B125" s="45">
        <f>A124</f>
        <v>60</v>
      </c>
      <c r="C125" s="67"/>
      <c r="D125" s="47"/>
      <c r="E125" s="48"/>
      <c r="F125" s="49"/>
      <c r="G125" s="50"/>
      <c r="H125" s="51" t="str">
        <f t="shared" si="0"/>
        <v/>
      </c>
      <c r="I125" s="48"/>
      <c r="J125" s="49"/>
      <c r="K125" s="50"/>
      <c r="L125" s="51" t="str">
        <f t="shared" si="1"/>
        <v/>
      </c>
      <c r="M125" s="52" t="str">
        <f t="shared" si="2"/>
        <v/>
      </c>
      <c r="N125" s="53" t="str">
        <f t="shared" si="3"/>
        <v/>
      </c>
      <c r="O125" s="53">
        <f t="shared" si="4"/>
        <v>0</v>
      </c>
      <c r="P125" s="54">
        <f t="shared" si="5"/>
        <v>0</v>
      </c>
      <c r="Q125" s="55">
        <f>Q124</f>
        <v>0</v>
      </c>
      <c r="R125" s="159"/>
      <c r="S125" s="165"/>
      <c r="T125" s="165"/>
      <c r="U125" s="43">
        <f t="shared" ref="U125:V125" si="125">U124</f>
        <v>0</v>
      </c>
      <c r="V125" s="43">
        <f t="shared" si="125"/>
        <v>0</v>
      </c>
      <c r="W125" s="163"/>
      <c r="X125" s="43"/>
      <c r="Y125" s="163"/>
      <c r="Z125" s="43">
        <f>Z124</f>
        <v>0</v>
      </c>
      <c r="AA125" s="75"/>
      <c r="AB125" s="44" t="str">
        <f>AB124</f>
        <v/>
      </c>
      <c r="AC125" s="168"/>
      <c r="AD125" s="168"/>
    </row>
    <row r="126" spans="1:30" ht="15.75" customHeight="1" x14ac:dyDescent="0.2">
      <c r="A126" s="158">
        <v>61</v>
      </c>
      <c r="B126" s="31"/>
      <c r="C126" s="68"/>
      <c r="D126" s="33"/>
      <c r="E126" s="34"/>
      <c r="F126" s="35"/>
      <c r="G126" s="36"/>
      <c r="H126" s="62" t="str">
        <f t="shared" si="0"/>
        <v/>
      </c>
      <c r="I126" s="34"/>
      <c r="J126" s="35"/>
      <c r="K126" s="36"/>
      <c r="L126" s="62" t="str">
        <f t="shared" si="1"/>
        <v/>
      </c>
      <c r="M126" s="63" t="str">
        <f t="shared" si="2"/>
        <v/>
      </c>
      <c r="N126" s="64" t="str">
        <f t="shared" si="3"/>
        <v/>
      </c>
      <c r="O126" s="64">
        <f t="shared" si="4"/>
        <v>0</v>
      </c>
      <c r="P126" s="65">
        <f t="shared" si="5"/>
        <v>0</v>
      </c>
      <c r="Q126" s="42">
        <f>IF(P126="","",SUM(P126+P127))</f>
        <v>0</v>
      </c>
      <c r="R126" s="166">
        <f>Q126</f>
        <v>0</v>
      </c>
      <c r="S126" s="164">
        <f>F126+J126+F127+J127</f>
        <v>0</v>
      </c>
      <c r="T126" s="164">
        <f>IF(O126="","",SUM(O126+O127))</f>
        <v>0</v>
      </c>
      <c r="U126" s="43">
        <f t="shared" ref="U126:V126" si="126">S126</f>
        <v>0</v>
      </c>
      <c r="V126" s="43">
        <f t="shared" si="126"/>
        <v>0</v>
      </c>
      <c r="W126" s="162"/>
      <c r="X126" s="43"/>
      <c r="Y126" s="162"/>
      <c r="Z126" s="43">
        <f>Y126</f>
        <v>0</v>
      </c>
      <c r="AA126" s="7"/>
      <c r="AB126" s="44" t="str">
        <f>IF(AA126="M", "M", IF(AA126="Ž", "Ž", IF(AA126="S", "S", "")))</f>
        <v/>
      </c>
      <c r="AC126" s="168"/>
      <c r="AD126" s="168"/>
    </row>
    <row r="127" spans="1:30" ht="15.75" customHeight="1" x14ac:dyDescent="0.2">
      <c r="A127" s="159"/>
      <c r="B127" s="45"/>
      <c r="C127" s="67"/>
      <c r="D127" s="47"/>
      <c r="E127" s="48"/>
      <c r="F127" s="49"/>
      <c r="G127" s="50"/>
      <c r="H127" s="51" t="str">
        <f t="shared" si="0"/>
        <v/>
      </c>
      <c r="I127" s="48"/>
      <c r="J127" s="49"/>
      <c r="K127" s="50"/>
      <c r="L127" s="51" t="str">
        <f t="shared" si="1"/>
        <v/>
      </c>
      <c r="M127" s="52" t="str">
        <f t="shared" si="2"/>
        <v/>
      </c>
      <c r="N127" s="53" t="str">
        <f t="shared" si="3"/>
        <v/>
      </c>
      <c r="O127" s="53">
        <f t="shared" si="4"/>
        <v>0</v>
      </c>
      <c r="P127" s="54">
        <f t="shared" si="5"/>
        <v>0</v>
      </c>
      <c r="Q127" s="55">
        <f>Q126</f>
        <v>0</v>
      </c>
      <c r="R127" s="159"/>
      <c r="S127" s="165"/>
      <c r="T127" s="165"/>
      <c r="U127" s="43">
        <f t="shared" ref="U127:V127" si="127">U126</f>
        <v>0</v>
      </c>
      <c r="V127" s="43">
        <f t="shared" si="127"/>
        <v>0</v>
      </c>
      <c r="W127" s="163"/>
      <c r="X127" s="43"/>
      <c r="Y127" s="163"/>
      <c r="Z127" s="43">
        <f>Z126</f>
        <v>0</v>
      </c>
      <c r="AA127" s="75"/>
      <c r="AB127" s="44" t="str">
        <f>AB126</f>
        <v/>
      </c>
      <c r="AC127" s="168"/>
      <c r="AD127" s="168"/>
    </row>
    <row r="128" spans="1:30" ht="15.75" customHeight="1" x14ac:dyDescent="0.2">
      <c r="A128" s="158">
        <v>62</v>
      </c>
      <c r="B128" s="31"/>
      <c r="C128" s="68"/>
      <c r="D128" s="33"/>
      <c r="E128" s="34"/>
      <c r="F128" s="35"/>
      <c r="G128" s="36"/>
      <c r="H128" s="62" t="str">
        <f t="shared" si="0"/>
        <v/>
      </c>
      <c r="I128" s="34"/>
      <c r="J128" s="35"/>
      <c r="K128" s="36"/>
      <c r="L128" s="62" t="str">
        <f t="shared" si="1"/>
        <v/>
      </c>
      <c r="M128" s="63" t="str">
        <f t="shared" si="2"/>
        <v/>
      </c>
      <c r="N128" s="64" t="str">
        <f t="shared" si="3"/>
        <v/>
      </c>
      <c r="O128" s="64">
        <f t="shared" si="4"/>
        <v>0</v>
      </c>
      <c r="P128" s="65">
        <f t="shared" si="5"/>
        <v>0</v>
      </c>
      <c r="Q128" s="42">
        <f>IF(P128="","",SUM(P128+P129))</f>
        <v>0</v>
      </c>
      <c r="R128" s="166">
        <f>Q128</f>
        <v>0</v>
      </c>
      <c r="S128" s="164">
        <f>F128+J128+F129+J129</f>
        <v>0</v>
      </c>
      <c r="T128" s="164">
        <f>IF(O128="","",SUM(O128+O129))</f>
        <v>0</v>
      </c>
      <c r="U128" s="43">
        <f t="shared" ref="U128:V128" si="128">S128</f>
        <v>0</v>
      </c>
      <c r="V128" s="43">
        <f t="shared" si="128"/>
        <v>0</v>
      </c>
      <c r="W128" s="162"/>
      <c r="X128" s="43"/>
      <c r="Y128" s="162"/>
      <c r="Z128" s="43">
        <f>Y128</f>
        <v>0</v>
      </c>
      <c r="AA128" s="7"/>
      <c r="AB128" s="44" t="str">
        <f>IF(AA128="M", "M", IF(AA128="Ž", "Ž", IF(AA128="S", "S", "")))</f>
        <v/>
      </c>
      <c r="AC128" s="168"/>
      <c r="AD128" s="168"/>
    </row>
    <row r="129" spans="1:30" ht="15.75" customHeight="1" x14ac:dyDescent="0.2">
      <c r="A129" s="159"/>
      <c r="B129" s="45"/>
      <c r="C129" s="67"/>
      <c r="D129" s="47"/>
      <c r="E129" s="48"/>
      <c r="F129" s="49"/>
      <c r="G129" s="50"/>
      <c r="H129" s="51" t="str">
        <f t="shared" si="0"/>
        <v/>
      </c>
      <c r="I129" s="48"/>
      <c r="J129" s="49"/>
      <c r="K129" s="50"/>
      <c r="L129" s="51" t="str">
        <f t="shared" si="1"/>
        <v/>
      </c>
      <c r="M129" s="52" t="str">
        <f t="shared" si="2"/>
        <v/>
      </c>
      <c r="N129" s="53" t="str">
        <f t="shared" si="3"/>
        <v/>
      </c>
      <c r="O129" s="53">
        <f t="shared" si="4"/>
        <v>0</v>
      </c>
      <c r="P129" s="54">
        <f t="shared" si="5"/>
        <v>0</v>
      </c>
      <c r="Q129" s="55">
        <f>Q128</f>
        <v>0</v>
      </c>
      <c r="R129" s="159"/>
      <c r="S129" s="165"/>
      <c r="T129" s="165"/>
      <c r="U129" s="43">
        <f t="shared" ref="U129:V129" si="129">U128</f>
        <v>0</v>
      </c>
      <c r="V129" s="43">
        <f t="shared" si="129"/>
        <v>0</v>
      </c>
      <c r="W129" s="163"/>
      <c r="X129" s="43"/>
      <c r="Y129" s="163"/>
      <c r="Z129" s="43">
        <f>Z128</f>
        <v>0</v>
      </c>
      <c r="AA129" s="75"/>
      <c r="AB129" s="44" t="str">
        <f>AB128</f>
        <v/>
      </c>
      <c r="AC129" s="168"/>
      <c r="AD129" s="168"/>
    </row>
    <row r="130" spans="1:30" ht="15.75" customHeight="1" x14ac:dyDescent="0.2">
      <c r="A130" s="158">
        <v>63</v>
      </c>
      <c r="B130" s="31"/>
      <c r="C130" s="68"/>
      <c r="D130" s="33"/>
      <c r="E130" s="59"/>
      <c r="F130" s="35"/>
      <c r="G130" s="36"/>
      <c r="H130" s="62" t="str">
        <f t="shared" si="0"/>
        <v/>
      </c>
      <c r="I130" s="34"/>
      <c r="J130" s="35"/>
      <c r="K130" s="36"/>
      <c r="L130" s="62" t="str">
        <f t="shared" si="1"/>
        <v/>
      </c>
      <c r="M130" s="63" t="str">
        <f t="shared" si="2"/>
        <v/>
      </c>
      <c r="N130" s="64" t="str">
        <f t="shared" si="3"/>
        <v/>
      </c>
      <c r="O130" s="64">
        <f t="shared" si="4"/>
        <v>0</v>
      </c>
      <c r="P130" s="65">
        <f t="shared" si="5"/>
        <v>0</v>
      </c>
      <c r="Q130" s="42">
        <f>IF(P130="","",SUM(P130+P131))</f>
        <v>0</v>
      </c>
      <c r="R130" s="166">
        <f>Q130</f>
        <v>0</v>
      </c>
      <c r="S130" s="164">
        <f>F130+J130+F131+J131</f>
        <v>0</v>
      </c>
      <c r="T130" s="164">
        <f>IF(O130="","",SUM(O130+O131))</f>
        <v>0</v>
      </c>
      <c r="U130" s="43">
        <f t="shared" ref="U130:V130" si="130">S130</f>
        <v>0</v>
      </c>
      <c r="V130" s="43">
        <f t="shared" si="130"/>
        <v>0</v>
      </c>
      <c r="W130" s="162"/>
      <c r="X130" s="43"/>
      <c r="Y130" s="162"/>
      <c r="Z130" s="43">
        <f>Y130</f>
        <v>0</v>
      </c>
      <c r="AA130" s="7"/>
      <c r="AB130" s="44" t="str">
        <f>IF(AA130="M", "M", IF(AA130="Ž", "Ž", IF(AA130="S", "S", "")))</f>
        <v/>
      </c>
      <c r="AC130" s="168"/>
      <c r="AD130" s="168"/>
    </row>
    <row r="131" spans="1:30" ht="15.75" customHeight="1" x14ac:dyDescent="0.2">
      <c r="A131" s="159"/>
      <c r="B131" s="45"/>
      <c r="C131" s="67"/>
      <c r="D131" s="47"/>
      <c r="E131" s="48"/>
      <c r="F131" s="49"/>
      <c r="G131" s="50"/>
      <c r="H131" s="51" t="str">
        <f t="shared" si="0"/>
        <v/>
      </c>
      <c r="I131" s="48"/>
      <c r="J131" s="49"/>
      <c r="K131" s="50"/>
      <c r="L131" s="51" t="str">
        <f t="shared" si="1"/>
        <v/>
      </c>
      <c r="M131" s="52" t="str">
        <f t="shared" si="2"/>
        <v/>
      </c>
      <c r="N131" s="53" t="str">
        <f t="shared" si="3"/>
        <v/>
      </c>
      <c r="O131" s="53">
        <f t="shared" si="4"/>
        <v>0</v>
      </c>
      <c r="P131" s="54">
        <f t="shared" si="5"/>
        <v>0</v>
      </c>
      <c r="Q131" s="55">
        <f>Q130</f>
        <v>0</v>
      </c>
      <c r="R131" s="159"/>
      <c r="S131" s="165"/>
      <c r="T131" s="165"/>
      <c r="U131" s="43">
        <f t="shared" ref="U131:V131" si="131">U130</f>
        <v>0</v>
      </c>
      <c r="V131" s="43">
        <f t="shared" si="131"/>
        <v>0</v>
      </c>
      <c r="W131" s="163"/>
      <c r="X131" s="43"/>
      <c r="Y131" s="163"/>
      <c r="Z131" s="43">
        <f>Z130</f>
        <v>0</v>
      </c>
      <c r="AA131" s="75"/>
      <c r="AB131" s="44" t="str">
        <f>AB130</f>
        <v/>
      </c>
      <c r="AC131" s="168"/>
      <c r="AD131" s="168"/>
    </row>
    <row r="132" spans="1:30" ht="15.75" customHeight="1" x14ac:dyDescent="0.2">
      <c r="A132" s="158">
        <v>64</v>
      </c>
      <c r="B132" s="31"/>
      <c r="C132" s="68"/>
      <c r="D132" s="33"/>
      <c r="E132" s="34"/>
      <c r="F132" s="35"/>
      <c r="G132" s="36"/>
      <c r="H132" s="62" t="str">
        <f t="shared" si="0"/>
        <v/>
      </c>
      <c r="I132" s="34"/>
      <c r="J132" s="35"/>
      <c r="K132" s="36"/>
      <c r="L132" s="62" t="str">
        <f t="shared" si="1"/>
        <v/>
      </c>
      <c r="M132" s="63" t="str">
        <f t="shared" si="2"/>
        <v/>
      </c>
      <c r="N132" s="64" t="str">
        <f t="shared" si="3"/>
        <v/>
      </c>
      <c r="O132" s="64">
        <f t="shared" si="4"/>
        <v>0</v>
      </c>
      <c r="P132" s="65">
        <f t="shared" si="5"/>
        <v>0</v>
      </c>
      <c r="Q132" s="42">
        <f>IF(P132="","",SUM(P132+P133))</f>
        <v>0</v>
      </c>
      <c r="R132" s="77">
        <f>Q132</f>
        <v>0</v>
      </c>
      <c r="S132" s="164">
        <f>F132+J132+F133+J133</f>
        <v>0</v>
      </c>
      <c r="T132" s="164">
        <f>IF(O132="","",SUM(O132+O133))</f>
        <v>0</v>
      </c>
      <c r="U132" s="43">
        <f t="shared" ref="U132:V132" si="132">S132</f>
        <v>0</v>
      </c>
      <c r="V132" s="43">
        <f t="shared" si="132"/>
        <v>0</v>
      </c>
      <c r="W132" s="162"/>
      <c r="X132" s="43"/>
      <c r="Y132" s="162"/>
      <c r="Z132" s="43">
        <f>Y132</f>
        <v>0</v>
      </c>
      <c r="AA132" s="7"/>
      <c r="AB132" s="44" t="str">
        <f>IF(AA132="M", "M", IF(AA132="Ž", "Ž", IF(AA132="S", "S", "")))</f>
        <v/>
      </c>
      <c r="AC132" s="168"/>
      <c r="AD132" s="168"/>
    </row>
    <row r="133" spans="1:30" ht="15.75" customHeight="1" x14ac:dyDescent="0.2">
      <c r="A133" s="159"/>
      <c r="B133" s="45"/>
      <c r="C133" s="67"/>
      <c r="D133" s="47"/>
      <c r="E133" s="48"/>
      <c r="F133" s="49"/>
      <c r="G133" s="50"/>
      <c r="H133" s="51" t="str">
        <f t="shared" si="0"/>
        <v/>
      </c>
      <c r="I133" s="48"/>
      <c r="J133" s="49"/>
      <c r="K133" s="50"/>
      <c r="L133" s="51" t="str">
        <f t="shared" si="1"/>
        <v/>
      </c>
      <c r="M133" s="52" t="str">
        <f t="shared" si="2"/>
        <v/>
      </c>
      <c r="N133" s="53" t="str">
        <f t="shared" si="3"/>
        <v/>
      </c>
      <c r="O133" s="53">
        <f t="shared" si="4"/>
        <v>0</v>
      </c>
      <c r="P133" s="54">
        <f t="shared" si="5"/>
        <v>0</v>
      </c>
      <c r="Q133" s="55">
        <f>Q132</f>
        <v>0</v>
      </c>
      <c r="R133" s="78"/>
      <c r="S133" s="165"/>
      <c r="T133" s="165"/>
      <c r="U133" s="43">
        <f t="shared" ref="U133:V133" si="133">U132</f>
        <v>0</v>
      </c>
      <c r="V133" s="43">
        <f t="shared" si="133"/>
        <v>0</v>
      </c>
      <c r="W133" s="163"/>
      <c r="X133" s="43"/>
      <c r="Y133" s="163"/>
      <c r="Z133" s="43">
        <f>Z132</f>
        <v>0</v>
      </c>
      <c r="AA133" s="75"/>
      <c r="AB133" s="44" t="str">
        <f>AB132</f>
        <v/>
      </c>
      <c r="AC133" s="168"/>
      <c r="AD133" s="168"/>
    </row>
    <row r="134" spans="1:30" ht="15.75" customHeight="1" x14ac:dyDescent="0.2">
      <c r="A134" s="158">
        <v>65</v>
      </c>
      <c r="B134" s="31"/>
      <c r="C134" s="68"/>
      <c r="D134" s="33"/>
      <c r="E134" s="34"/>
      <c r="F134" s="35"/>
      <c r="G134" s="36"/>
      <c r="H134" s="62" t="str">
        <f t="shared" si="0"/>
        <v/>
      </c>
      <c r="I134" s="34"/>
      <c r="J134" s="35"/>
      <c r="K134" s="36"/>
      <c r="L134" s="62" t="str">
        <f t="shared" si="1"/>
        <v/>
      </c>
      <c r="M134" s="63" t="str">
        <f t="shared" si="2"/>
        <v/>
      </c>
      <c r="N134" s="64" t="str">
        <f t="shared" si="3"/>
        <v/>
      </c>
      <c r="O134" s="64">
        <f t="shared" si="4"/>
        <v>0</v>
      </c>
      <c r="P134" s="65">
        <f t="shared" si="5"/>
        <v>0</v>
      </c>
      <c r="Q134" s="42">
        <f>IF(P134="","",SUM(P134+P135))</f>
        <v>0</v>
      </c>
      <c r="R134" s="166">
        <f>Q134</f>
        <v>0</v>
      </c>
      <c r="S134" s="164">
        <f>F134+J134+F135+J135</f>
        <v>0</v>
      </c>
      <c r="T134" s="164">
        <f>IF(O134="","",SUM(O134+O135))</f>
        <v>0</v>
      </c>
      <c r="U134" s="43">
        <f t="shared" ref="U134:V134" si="134">S134</f>
        <v>0</v>
      </c>
      <c r="V134" s="43">
        <f t="shared" si="134"/>
        <v>0</v>
      </c>
      <c r="W134" s="162"/>
      <c r="X134" s="43"/>
      <c r="Y134" s="162"/>
      <c r="Z134" s="43">
        <f>Y134</f>
        <v>0</v>
      </c>
      <c r="AA134" s="7"/>
      <c r="AB134" s="44" t="str">
        <f>IF(AA134="M", "M", IF(AA134="Ž", "Ž", IF(AA134="S", "S", "")))</f>
        <v/>
      </c>
      <c r="AC134" s="168"/>
      <c r="AD134" s="168"/>
    </row>
    <row r="135" spans="1:30" ht="15.75" customHeight="1" x14ac:dyDescent="0.2">
      <c r="A135" s="159"/>
      <c r="B135" s="45"/>
      <c r="C135" s="67"/>
      <c r="D135" s="47"/>
      <c r="E135" s="48"/>
      <c r="F135" s="49"/>
      <c r="G135" s="50"/>
      <c r="H135" s="51" t="str">
        <f t="shared" si="0"/>
        <v/>
      </c>
      <c r="I135" s="48"/>
      <c r="J135" s="49"/>
      <c r="K135" s="50"/>
      <c r="L135" s="51" t="str">
        <f t="shared" si="1"/>
        <v/>
      </c>
      <c r="M135" s="52" t="str">
        <f t="shared" si="2"/>
        <v/>
      </c>
      <c r="N135" s="53" t="str">
        <f t="shared" si="3"/>
        <v/>
      </c>
      <c r="O135" s="53">
        <f t="shared" si="4"/>
        <v>0</v>
      </c>
      <c r="P135" s="54">
        <f t="shared" si="5"/>
        <v>0</v>
      </c>
      <c r="Q135" s="55">
        <f>Q134</f>
        <v>0</v>
      </c>
      <c r="R135" s="159"/>
      <c r="S135" s="165"/>
      <c r="T135" s="165"/>
      <c r="U135" s="43">
        <f t="shared" ref="U135:V135" si="135">U134</f>
        <v>0</v>
      </c>
      <c r="V135" s="43">
        <f t="shared" si="135"/>
        <v>0</v>
      </c>
      <c r="W135" s="163"/>
      <c r="X135" s="43"/>
      <c r="Y135" s="163"/>
      <c r="Z135" s="43">
        <f>Z134</f>
        <v>0</v>
      </c>
      <c r="AA135" s="75"/>
      <c r="AB135" s="44" t="str">
        <f>AB134</f>
        <v/>
      </c>
      <c r="AC135" s="168"/>
      <c r="AD135" s="168"/>
    </row>
    <row r="136" spans="1:30" ht="15.75" customHeight="1" x14ac:dyDescent="0.2">
      <c r="A136" s="158">
        <v>66</v>
      </c>
      <c r="B136" s="31"/>
      <c r="C136" s="68"/>
      <c r="D136" s="33"/>
      <c r="E136" s="34"/>
      <c r="F136" s="35"/>
      <c r="G136" s="36"/>
      <c r="H136" s="62" t="str">
        <f t="shared" si="0"/>
        <v/>
      </c>
      <c r="I136" s="34"/>
      <c r="J136" s="35"/>
      <c r="K136" s="36"/>
      <c r="L136" s="62" t="str">
        <f t="shared" si="1"/>
        <v/>
      </c>
      <c r="M136" s="63" t="str">
        <f t="shared" si="2"/>
        <v/>
      </c>
      <c r="N136" s="64" t="str">
        <f t="shared" si="3"/>
        <v/>
      </c>
      <c r="O136" s="64">
        <f t="shared" si="4"/>
        <v>0</v>
      </c>
      <c r="P136" s="65">
        <f t="shared" si="5"/>
        <v>0</v>
      </c>
      <c r="Q136" s="42">
        <f>IF(P136="","",SUM(P136+P137))</f>
        <v>0</v>
      </c>
      <c r="R136" s="166">
        <f>Q136</f>
        <v>0</v>
      </c>
      <c r="S136" s="164">
        <f>F136+J136+F137+J137</f>
        <v>0</v>
      </c>
      <c r="T136" s="164">
        <f>IF(O136="","",SUM(O136+O137))</f>
        <v>0</v>
      </c>
      <c r="U136" s="43">
        <f t="shared" ref="U136:V136" si="136">S136</f>
        <v>0</v>
      </c>
      <c r="V136" s="43">
        <f t="shared" si="136"/>
        <v>0</v>
      </c>
      <c r="W136" s="162"/>
      <c r="X136" s="43"/>
      <c r="Y136" s="162"/>
      <c r="Z136" s="43">
        <f>Y136</f>
        <v>0</v>
      </c>
      <c r="AA136" s="7"/>
      <c r="AB136" s="44" t="str">
        <f>IF(AA136="M", "M", IF(AA136="Ž", "Ž", IF(AA136="S", "S", "")))</f>
        <v/>
      </c>
      <c r="AC136" s="168"/>
      <c r="AD136" s="168"/>
    </row>
    <row r="137" spans="1:30" ht="15.75" customHeight="1" x14ac:dyDescent="0.2">
      <c r="A137" s="159"/>
      <c r="B137" s="45"/>
      <c r="C137" s="67"/>
      <c r="D137" s="47"/>
      <c r="E137" s="48"/>
      <c r="F137" s="49"/>
      <c r="G137" s="50"/>
      <c r="H137" s="51" t="str">
        <f t="shared" si="0"/>
        <v/>
      </c>
      <c r="I137" s="48"/>
      <c r="J137" s="49"/>
      <c r="K137" s="50"/>
      <c r="L137" s="51" t="str">
        <f t="shared" si="1"/>
        <v/>
      </c>
      <c r="M137" s="52" t="str">
        <f t="shared" si="2"/>
        <v/>
      </c>
      <c r="N137" s="53" t="str">
        <f t="shared" si="3"/>
        <v/>
      </c>
      <c r="O137" s="53">
        <f t="shared" si="4"/>
        <v>0</v>
      </c>
      <c r="P137" s="54">
        <f t="shared" si="5"/>
        <v>0</v>
      </c>
      <c r="Q137" s="55">
        <f>Q136</f>
        <v>0</v>
      </c>
      <c r="R137" s="159"/>
      <c r="S137" s="165"/>
      <c r="T137" s="165"/>
      <c r="U137" s="43">
        <f t="shared" ref="U137:V137" si="137">U136</f>
        <v>0</v>
      </c>
      <c r="V137" s="43">
        <f t="shared" si="137"/>
        <v>0</v>
      </c>
      <c r="W137" s="163"/>
      <c r="X137" s="43"/>
      <c r="Y137" s="163"/>
      <c r="Z137" s="43">
        <f>Z136</f>
        <v>0</v>
      </c>
      <c r="AA137" s="75"/>
      <c r="AB137" s="44" t="str">
        <f>AB136</f>
        <v/>
      </c>
      <c r="AC137" s="168"/>
      <c r="AD137" s="168"/>
    </row>
    <row r="138" spans="1:30" ht="15.75" customHeight="1" x14ac:dyDescent="0.2">
      <c r="A138" s="158">
        <v>67</v>
      </c>
      <c r="B138" s="31"/>
      <c r="C138" s="68"/>
      <c r="D138" s="33"/>
      <c r="E138" s="34"/>
      <c r="F138" s="35"/>
      <c r="G138" s="36"/>
      <c r="H138" s="62" t="str">
        <f t="shared" si="0"/>
        <v/>
      </c>
      <c r="I138" s="34"/>
      <c r="J138" s="35"/>
      <c r="K138" s="36"/>
      <c r="L138" s="62" t="str">
        <f t="shared" si="1"/>
        <v/>
      </c>
      <c r="M138" s="63" t="str">
        <f t="shared" si="2"/>
        <v/>
      </c>
      <c r="N138" s="64" t="str">
        <f t="shared" si="3"/>
        <v/>
      </c>
      <c r="O138" s="64">
        <f t="shared" si="4"/>
        <v>0</v>
      </c>
      <c r="P138" s="65">
        <f t="shared" si="5"/>
        <v>0</v>
      </c>
      <c r="Q138" s="42">
        <f>IF(P138="","",SUM(P138+P139))</f>
        <v>0</v>
      </c>
      <c r="R138" s="166">
        <f>Q138</f>
        <v>0</v>
      </c>
      <c r="S138" s="164">
        <f>F138+J138+F139+J139</f>
        <v>0</v>
      </c>
      <c r="T138" s="164">
        <f>IF(O138="","",SUM(O138+O139))</f>
        <v>0</v>
      </c>
      <c r="U138" s="43">
        <f t="shared" ref="U138:V138" si="138">S138</f>
        <v>0</v>
      </c>
      <c r="V138" s="43">
        <f t="shared" si="138"/>
        <v>0</v>
      </c>
      <c r="W138" s="162"/>
      <c r="X138" s="43"/>
      <c r="Y138" s="162"/>
      <c r="Z138" s="43">
        <f>Y138</f>
        <v>0</v>
      </c>
      <c r="AA138" s="7"/>
      <c r="AB138" s="44" t="str">
        <f>IF(AA138="M", "M", IF(AA138="Ž", "Ž", IF(AA138="S", "S", "")))</f>
        <v/>
      </c>
      <c r="AC138" s="168"/>
      <c r="AD138" s="168"/>
    </row>
    <row r="139" spans="1:30" ht="15.75" customHeight="1" x14ac:dyDescent="0.2">
      <c r="A139" s="159"/>
      <c r="B139" s="45"/>
      <c r="C139" s="67"/>
      <c r="D139" s="47"/>
      <c r="E139" s="48"/>
      <c r="F139" s="49"/>
      <c r="G139" s="50"/>
      <c r="H139" s="51" t="str">
        <f t="shared" si="0"/>
        <v/>
      </c>
      <c r="I139" s="48"/>
      <c r="J139" s="49"/>
      <c r="K139" s="50"/>
      <c r="L139" s="51" t="str">
        <f t="shared" si="1"/>
        <v/>
      </c>
      <c r="M139" s="52" t="str">
        <f t="shared" si="2"/>
        <v/>
      </c>
      <c r="N139" s="53" t="str">
        <f t="shared" si="3"/>
        <v/>
      </c>
      <c r="O139" s="53">
        <f t="shared" si="4"/>
        <v>0</v>
      </c>
      <c r="P139" s="54">
        <f t="shared" si="5"/>
        <v>0</v>
      </c>
      <c r="Q139" s="55">
        <f>Q138</f>
        <v>0</v>
      </c>
      <c r="R139" s="159"/>
      <c r="S139" s="165"/>
      <c r="T139" s="165"/>
      <c r="U139" s="43">
        <f t="shared" ref="U139:V139" si="139">U138</f>
        <v>0</v>
      </c>
      <c r="V139" s="43">
        <f t="shared" si="139"/>
        <v>0</v>
      </c>
      <c r="W139" s="163"/>
      <c r="X139" s="43"/>
      <c r="Y139" s="163"/>
      <c r="Z139" s="43">
        <f>Z138</f>
        <v>0</v>
      </c>
      <c r="AA139" s="75"/>
      <c r="AB139" s="44" t="str">
        <f>AB138</f>
        <v/>
      </c>
      <c r="AC139" s="168"/>
      <c r="AD139" s="168"/>
    </row>
    <row r="140" spans="1:30" ht="15.75" customHeight="1" x14ac:dyDescent="0.2">
      <c r="A140" s="158">
        <v>68</v>
      </c>
      <c r="B140" s="31"/>
      <c r="C140" s="68"/>
      <c r="D140" s="33"/>
      <c r="E140" s="34"/>
      <c r="F140" s="35"/>
      <c r="G140" s="36"/>
      <c r="H140" s="62" t="str">
        <f t="shared" si="0"/>
        <v/>
      </c>
      <c r="I140" s="34"/>
      <c r="J140" s="35"/>
      <c r="K140" s="36"/>
      <c r="L140" s="62" t="str">
        <f t="shared" si="1"/>
        <v/>
      </c>
      <c r="M140" s="63" t="str">
        <f t="shared" si="2"/>
        <v/>
      </c>
      <c r="N140" s="64" t="str">
        <f t="shared" si="3"/>
        <v/>
      </c>
      <c r="O140" s="64">
        <f t="shared" si="4"/>
        <v>0</v>
      </c>
      <c r="P140" s="65">
        <f t="shared" si="5"/>
        <v>0</v>
      </c>
      <c r="Q140" s="42">
        <f>IF(P140="","",SUM(P140+P141))</f>
        <v>0</v>
      </c>
      <c r="R140" s="166">
        <f>Q140</f>
        <v>0</v>
      </c>
      <c r="S140" s="164">
        <f>F140+J140+F141+J141</f>
        <v>0</v>
      </c>
      <c r="T140" s="164">
        <f>IF(O140="","",SUM(O140+O141))</f>
        <v>0</v>
      </c>
      <c r="U140" s="43">
        <f t="shared" ref="U140:V140" si="140">S140</f>
        <v>0</v>
      </c>
      <c r="V140" s="43">
        <f t="shared" si="140"/>
        <v>0</v>
      </c>
      <c r="W140" s="162"/>
      <c r="X140" s="43"/>
      <c r="Y140" s="162"/>
      <c r="Z140" s="43">
        <f>Y140</f>
        <v>0</v>
      </c>
      <c r="AA140" s="7"/>
      <c r="AB140" s="44" t="str">
        <f>IF(AA140="M", "M", IF(AA140="Ž", "Ž", IF(AA140="S", "S", "")))</f>
        <v/>
      </c>
      <c r="AC140" s="168"/>
      <c r="AD140" s="168"/>
    </row>
    <row r="141" spans="1:30" ht="15.75" customHeight="1" x14ac:dyDescent="0.2">
      <c r="A141" s="159"/>
      <c r="B141" s="45"/>
      <c r="C141" s="67"/>
      <c r="D141" s="47"/>
      <c r="E141" s="48"/>
      <c r="F141" s="49"/>
      <c r="G141" s="50"/>
      <c r="H141" s="51" t="str">
        <f t="shared" si="0"/>
        <v/>
      </c>
      <c r="I141" s="48"/>
      <c r="J141" s="49"/>
      <c r="K141" s="50"/>
      <c r="L141" s="51" t="str">
        <f t="shared" si="1"/>
        <v/>
      </c>
      <c r="M141" s="52" t="str">
        <f t="shared" si="2"/>
        <v/>
      </c>
      <c r="N141" s="53" t="str">
        <f t="shared" si="3"/>
        <v/>
      </c>
      <c r="O141" s="53">
        <f t="shared" si="4"/>
        <v>0</v>
      </c>
      <c r="P141" s="54">
        <f t="shared" si="5"/>
        <v>0</v>
      </c>
      <c r="Q141" s="55">
        <f>Q140</f>
        <v>0</v>
      </c>
      <c r="R141" s="159"/>
      <c r="S141" s="165"/>
      <c r="T141" s="165"/>
      <c r="U141" s="43">
        <f t="shared" ref="U141:V141" si="141">U140</f>
        <v>0</v>
      </c>
      <c r="V141" s="43">
        <f t="shared" si="141"/>
        <v>0</v>
      </c>
      <c r="W141" s="163"/>
      <c r="X141" s="43"/>
      <c r="Y141" s="163"/>
      <c r="Z141" s="43">
        <f>Z140</f>
        <v>0</v>
      </c>
      <c r="AA141" s="75"/>
      <c r="AB141" s="44" t="str">
        <f>AB140</f>
        <v/>
      </c>
      <c r="AC141" s="168"/>
      <c r="AD141" s="168"/>
    </row>
    <row r="142" spans="1:30" ht="15.75" customHeight="1" x14ac:dyDescent="0.2">
      <c r="A142" s="158">
        <v>69</v>
      </c>
      <c r="B142" s="31"/>
      <c r="C142" s="68"/>
      <c r="D142" s="33"/>
      <c r="E142" s="34"/>
      <c r="F142" s="35"/>
      <c r="G142" s="36"/>
      <c r="H142" s="62" t="str">
        <f t="shared" si="0"/>
        <v/>
      </c>
      <c r="I142" s="34"/>
      <c r="J142" s="35"/>
      <c r="K142" s="36"/>
      <c r="L142" s="62" t="str">
        <f t="shared" si="1"/>
        <v/>
      </c>
      <c r="M142" s="63" t="str">
        <f t="shared" si="2"/>
        <v/>
      </c>
      <c r="N142" s="64" t="str">
        <f t="shared" si="3"/>
        <v/>
      </c>
      <c r="O142" s="64">
        <f t="shared" si="4"/>
        <v>0</v>
      </c>
      <c r="P142" s="65">
        <f t="shared" si="5"/>
        <v>0</v>
      </c>
      <c r="Q142" s="42">
        <f>IF(P142="","",SUM(P142+P143))</f>
        <v>0</v>
      </c>
      <c r="R142" s="166">
        <f>Q142</f>
        <v>0</v>
      </c>
      <c r="S142" s="164">
        <f>F142+J142+F143+J143</f>
        <v>0</v>
      </c>
      <c r="T142" s="164">
        <f>IF(O142="","",SUM(O142+O143))</f>
        <v>0</v>
      </c>
      <c r="U142" s="43">
        <f t="shared" ref="U142:V142" si="142">S142</f>
        <v>0</v>
      </c>
      <c r="V142" s="43">
        <f t="shared" si="142"/>
        <v>0</v>
      </c>
      <c r="W142" s="162"/>
      <c r="X142" s="43"/>
      <c r="Y142" s="162"/>
      <c r="Z142" s="43">
        <f>Y142</f>
        <v>0</v>
      </c>
      <c r="AA142" s="7"/>
      <c r="AB142" s="44" t="str">
        <f>IF(AA142="M", "M", IF(AA142="Ž", "Ž", IF(AA142="S", "S", "")))</f>
        <v/>
      </c>
      <c r="AC142" s="168"/>
      <c r="AD142" s="168"/>
    </row>
    <row r="143" spans="1:30" ht="15.75" customHeight="1" x14ac:dyDescent="0.2">
      <c r="A143" s="159"/>
      <c r="B143" s="45"/>
      <c r="C143" s="67"/>
      <c r="D143" s="47"/>
      <c r="E143" s="48"/>
      <c r="F143" s="49"/>
      <c r="G143" s="50"/>
      <c r="H143" s="51" t="str">
        <f t="shared" si="0"/>
        <v/>
      </c>
      <c r="I143" s="48"/>
      <c r="J143" s="49"/>
      <c r="K143" s="50"/>
      <c r="L143" s="51" t="str">
        <f t="shared" si="1"/>
        <v/>
      </c>
      <c r="M143" s="52" t="str">
        <f t="shared" si="2"/>
        <v/>
      </c>
      <c r="N143" s="53" t="str">
        <f t="shared" si="3"/>
        <v/>
      </c>
      <c r="O143" s="53">
        <f t="shared" si="4"/>
        <v>0</v>
      </c>
      <c r="P143" s="54">
        <f t="shared" si="5"/>
        <v>0</v>
      </c>
      <c r="Q143" s="55">
        <f>Q142</f>
        <v>0</v>
      </c>
      <c r="R143" s="159"/>
      <c r="S143" s="165"/>
      <c r="T143" s="165"/>
      <c r="U143" s="43">
        <f t="shared" ref="U143:V143" si="143">U142</f>
        <v>0</v>
      </c>
      <c r="V143" s="43">
        <f t="shared" si="143"/>
        <v>0</v>
      </c>
      <c r="W143" s="163"/>
      <c r="X143" s="43"/>
      <c r="Y143" s="163"/>
      <c r="Z143" s="43">
        <f>Z142</f>
        <v>0</v>
      </c>
      <c r="AA143" s="75"/>
      <c r="AB143" s="44" t="str">
        <f>AB142</f>
        <v/>
      </c>
      <c r="AC143" s="168"/>
      <c r="AD143" s="168"/>
    </row>
    <row r="144" spans="1:30" ht="15.75" customHeight="1" x14ac:dyDescent="0.2">
      <c r="A144" s="158">
        <v>70</v>
      </c>
      <c r="B144" s="31"/>
      <c r="C144" s="68"/>
      <c r="D144" s="33"/>
      <c r="E144" s="34"/>
      <c r="F144" s="35"/>
      <c r="G144" s="36"/>
      <c r="H144" s="62" t="str">
        <f t="shared" si="0"/>
        <v/>
      </c>
      <c r="I144" s="34"/>
      <c r="J144" s="35"/>
      <c r="K144" s="36"/>
      <c r="L144" s="62" t="str">
        <f t="shared" si="1"/>
        <v/>
      </c>
      <c r="M144" s="63" t="str">
        <f t="shared" si="2"/>
        <v/>
      </c>
      <c r="N144" s="64" t="str">
        <f t="shared" si="3"/>
        <v/>
      </c>
      <c r="O144" s="64">
        <f t="shared" si="4"/>
        <v>0</v>
      </c>
      <c r="P144" s="65">
        <f t="shared" si="5"/>
        <v>0</v>
      </c>
      <c r="Q144" s="42">
        <f>IF(P144="","",SUM(P144+P145))</f>
        <v>0</v>
      </c>
      <c r="R144" s="166">
        <f>Q144</f>
        <v>0</v>
      </c>
      <c r="S144" s="164">
        <f>F144+J144+F145+J145</f>
        <v>0</v>
      </c>
      <c r="T144" s="164">
        <f>IF(O144="","",SUM(O144+O145))</f>
        <v>0</v>
      </c>
      <c r="U144" s="43">
        <f t="shared" ref="U144:V144" si="144">S144</f>
        <v>0</v>
      </c>
      <c r="V144" s="43">
        <f t="shared" si="144"/>
        <v>0</v>
      </c>
      <c r="W144" s="162"/>
      <c r="X144" s="43"/>
      <c r="Y144" s="162"/>
      <c r="Z144" s="43">
        <f>Y144</f>
        <v>0</v>
      </c>
      <c r="AA144" s="7"/>
      <c r="AB144" s="44" t="str">
        <f>IF(AA144="M", "M", IF(AA144="Ž", "Ž", IF(AA144="S", "S", "")))</f>
        <v/>
      </c>
      <c r="AC144" s="168"/>
      <c r="AD144" s="168"/>
    </row>
    <row r="145" spans="1:30" ht="15.75" customHeight="1" x14ac:dyDescent="0.2">
      <c r="A145" s="159"/>
      <c r="B145" s="45"/>
      <c r="C145" s="67"/>
      <c r="D145" s="47"/>
      <c r="E145" s="48"/>
      <c r="F145" s="49"/>
      <c r="G145" s="50"/>
      <c r="H145" s="51" t="str">
        <f t="shared" si="0"/>
        <v/>
      </c>
      <c r="I145" s="48"/>
      <c r="J145" s="49"/>
      <c r="K145" s="50"/>
      <c r="L145" s="51" t="str">
        <f t="shared" si="1"/>
        <v/>
      </c>
      <c r="M145" s="52" t="str">
        <f t="shared" si="2"/>
        <v/>
      </c>
      <c r="N145" s="53" t="str">
        <f t="shared" si="3"/>
        <v/>
      </c>
      <c r="O145" s="53">
        <f t="shared" si="4"/>
        <v>0</v>
      </c>
      <c r="P145" s="54">
        <f t="shared" si="5"/>
        <v>0</v>
      </c>
      <c r="Q145" s="55">
        <f>Q144</f>
        <v>0</v>
      </c>
      <c r="R145" s="159"/>
      <c r="S145" s="165"/>
      <c r="T145" s="165"/>
      <c r="U145" s="43">
        <f t="shared" ref="U145:V145" si="145">U144</f>
        <v>0</v>
      </c>
      <c r="V145" s="43">
        <f t="shared" si="145"/>
        <v>0</v>
      </c>
      <c r="W145" s="163"/>
      <c r="X145" s="43"/>
      <c r="Y145" s="163"/>
      <c r="Z145" s="43">
        <f>Z144</f>
        <v>0</v>
      </c>
      <c r="AA145" s="75"/>
      <c r="AB145" s="44" t="str">
        <f>AB144</f>
        <v/>
      </c>
      <c r="AC145" s="168"/>
      <c r="AD145" s="168"/>
    </row>
    <row r="146" spans="1:30" ht="15.75" customHeight="1" x14ac:dyDescent="0.2">
      <c r="A146" s="158">
        <v>71</v>
      </c>
      <c r="B146" s="31"/>
      <c r="C146" s="68"/>
      <c r="D146" s="33"/>
      <c r="E146" s="34"/>
      <c r="F146" s="35"/>
      <c r="G146" s="36"/>
      <c r="H146" s="62" t="str">
        <f t="shared" si="0"/>
        <v/>
      </c>
      <c r="I146" s="34"/>
      <c r="J146" s="35"/>
      <c r="K146" s="36"/>
      <c r="L146" s="62" t="str">
        <f t="shared" si="1"/>
        <v/>
      </c>
      <c r="M146" s="63" t="str">
        <f t="shared" si="2"/>
        <v/>
      </c>
      <c r="N146" s="64" t="str">
        <f t="shared" si="3"/>
        <v/>
      </c>
      <c r="O146" s="64">
        <f t="shared" si="4"/>
        <v>0</v>
      </c>
      <c r="P146" s="71">
        <f t="shared" si="5"/>
        <v>0</v>
      </c>
      <c r="Q146" s="42">
        <f>IF(P146="","",SUM(P146+P147))</f>
        <v>0</v>
      </c>
      <c r="R146" s="166">
        <f>Q146</f>
        <v>0</v>
      </c>
      <c r="S146" s="164">
        <f>F146+J146+F147+J147</f>
        <v>0</v>
      </c>
      <c r="T146" s="164">
        <f>IF(O146="","",SUM(O146+O147))</f>
        <v>0</v>
      </c>
      <c r="U146" s="43">
        <f t="shared" ref="U146:V146" si="146">S146</f>
        <v>0</v>
      </c>
      <c r="V146" s="43">
        <f t="shared" si="146"/>
        <v>0</v>
      </c>
      <c r="W146" s="162"/>
      <c r="X146" s="43"/>
      <c r="Y146" s="162"/>
      <c r="Z146" s="43">
        <f>Y146</f>
        <v>0</v>
      </c>
      <c r="AA146" s="7"/>
      <c r="AB146" s="44" t="str">
        <f>IF(AA146="M", "M", IF(AA146="Ž", "Ž", IF(AA146="S", "S", "")))</f>
        <v/>
      </c>
      <c r="AC146" s="168"/>
      <c r="AD146" s="168"/>
    </row>
    <row r="147" spans="1:30" ht="15.75" customHeight="1" x14ac:dyDescent="0.2">
      <c r="A147" s="159"/>
      <c r="B147" s="45"/>
      <c r="C147" s="67"/>
      <c r="D147" s="47"/>
      <c r="E147" s="48"/>
      <c r="F147" s="49"/>
      <c r="G147" s="50"/>
      <c r="H147" s="51" t="str">
        <f t="shared" si="0"/>
        <v/>
      </c>
      <c r="I147" s="48"/>
      <c r="J147" s="49"/>
      <c r="K147" s="50"/>
      <c r="L147" s="51" t="str">
        <f t="shared" si="1"/>
        <v/>
      </c>
      <c r="M147" s="52" t="str">
        <f t="shared" si="2"/>
        <v/>
      </c>
      <c r="N147" s="53" t="str">
        <f t="shared" si="3"/>
        <v/>
      </c>
      <c r="O147" s="53">
        <f t="shared" si="4"/>
        <v>0</v>
      </c>
      <c r="P147" s="54">
        <f t="shared" si="5"/>
        <v>0</v>
      </c>
      <c r="Q147" s="55">
        <f>Q146</f>
        <v>0</v>
      </c>
      <c r="R147" s="159"/>
      <c r="S147" s="165"/>
      <c r="T147" s="165"/>
      <c r="U147" s="43">
        <f t="shared" ref="U147:V147" si="147">U146</f>
        <v>0</v>
      </c>
      <c r="V147" s="43">
        <f t="shared" si="147"/>
        <v>0</v>
      </c>
      <c r="W147" s="163"/>
      <c r="X147" s="43"/>
      <c r="Y147" s="163"/>
      <c r="Z147" s="43">
        <f>Z146</f>
        <v>0</v>
      </c>
      <c r="AA147" s="75"/>
      <c r="AB147" s="44" t="str">
        <f>AB146</f>
        <v/>
      </c>
      <c r="AC147" s="168"/>
      <c r="AD147" s="168"/>
    </row>
    <row r="148" spans="1:30" ht="15.75" customHeight="1" x14ac:dyDescent="0.2">
      <c r="A148" s="158"/>
      <c r="B148" s="31"/>
      <c r="C148" s="79"/>
      <c r="D148" s="80"/>
      <c r="E148" s="81"/>
      <c r="F148" s="82"/>
      <c r="G148" s="83"/>
      <c r="H148" s="84"/>
      <c r="I148" s="81"/>
      <c r="J148" s="82"/>
      <c r="K148" s="83"/>
      <c r="L148" s="85"/>
      <c r="M148" s="86"/>
      <c r="N148" s="87"/>
      <c r="O148" s="88"/>
      <c r="P148" s="89"/>
      <c r="Q148" s="90"/>
      <c r="R148" s="160">
        <f>Q148</f>
        <v>0</v>
      </c>
      <c r="S148" s="6"/>
      <c r="T148" s="6"/>
      <c r="U148" s="7"/>
      <c r="V148" s="7"/>
      <c r="W148" s="7"/>
      <c r="X148" s="7"/>
      <c r="Y148" s="7"/>
      <c r="Z148" s="7"/>
      <c r="AA148" s="7"/>
      <c r="AB148" s="91" t="str">
        <f>IF(AA148&lt;&gt;AA149,"S","")</f>
        <v/>
      </c>
    </row>
    <row r="149" spans="1:30" ht="15.75" customHeight="1" x14ac:dyDescent="0.2">
      <c r="A149" s="159"/>
      <c r="B149" s="4"/>
      <c r="C149" s="92"/>
      <c r="D149" s="80"/>
      <c r="E149" s="93"/>
      <c r="F149" s="94"/>
      <c r="G149" s="95"/>
      <c r="H149" s="96"/>
      <c r="I149" s="93"/>
      <c r="J149" s="94"/>
      <c r="K149" s="95"/>
      <c r="L149" s="97"/>
      <c r="M149" s="98"/>
      <c r="N149" s="99"/>
      <c r="O149" s="88"/>
      <c r="P149" s="89"/>
      <c r="Q149" s="78"/>
      <c r="R149" s="161"/>
      <c r="S149" s="6"/>
      <c r="T149" s="6"/>
      <c r="U149" s="7"/>
      <c r="V149" s="7"/>
      <c r="W149" s="7"/>
      <c r="X149" s="7"/>
      <c r="Y149" s="7"/>
      <c r="Z149" s="7"/>
      <c r="AA149" s="7"/>
      <c r="AB149" s="91" t="str">
        <f>AB148</f>
        <v/>
      </c>
    </row>
    <row r="150" spans="1:30" ht="15.75" customHeight="1" x14ac:dyDescent="0.2">
      <c r="A150" s="158"/>
      <c r="B150" s="31"/>
      <c r="C150" s="79"/>
      <c r="D150" s="80"/>
      <c r="E150" s="81"/>
      <c r="F150" s="82"/>
      <c r="G150" s="83"/>
      <c r="H150" s="84"/>
      <c r="I150" s="81"/>
      <c r="J150" s="82"/>
      <c r="K150" s="83"/>
      <c r="L150" s="85"/>
      <c r="M150" s="86"/>
      <c r="N150" s="87"/>
      <c r="O150" s="88"/>
      <c r="P150" s="89"/>
      <c r="Q150" s="90"/>
      <c r="R150" s="160">
        <f>Q150</f>
        <v>0</v>
      </c>
      <c r="S150" s="6"/>
      <c r="T150" s="6"/>
      <c r="U150" s="7"/>
      <c r="V150" s="7"/>
      <c r="W150" s="7"/>
      <c r="X150" s="7"/>
      <c r="Y150" s="7"/>
      <c r="Z150" s="7"/>
      <c r="AA150" s="7"/>
      <c r="AB150" s="91" t="str">
        <f>IF(AA150&lt;&gt;AA151,"S","")</f>
        <v/>
      </c>
    </row>
    <row r="151" spans="1:30" ht="15.75" customHeight="1" x14ac:dyDescent="0.2">
      <c r="A151" s="159"/>
      <c r="B151" s="4"/>
      <c r="C151" s="92"/>
      <c r="D151" s="80"/>
      <c r="E151" s="93"/>
      <c r="F151" s="94"/>
      <c r="G151" s="95"/>
      <c r="H151" s="96"/>
      <c r="I151" s="93"/>
      <c r="J151" s="94"/>
      <c r="K151" s="95"/>
      <c r="L151" s="97"/>
      <c r="M151" s="98"/>
      <c r="N151" s="99"/>
      <c r="O151" s="88"/>
      <c r="P151" s="89"/>
      <c r="Q151" s="78"/>
      <c r="R151" s="161"/>
      <c r="S151" s="6"/>
      <c r="T151" s="6"/>
      <c r="U151" s="7"/>
      <c r="V151" s="7"/>
      <c r="W151" s="7"/>
      <c r="X151" s="7"/>
      <c r="Y151" s="7"/>
      <c r="Z151" s="7"/>
      <c r="AA151" s="7"/>
      <c r="AB151" s="91" t="str">
        <f>AB150</f>
        <v/>
      </c>
    </row>
    <row r="152" spans="1:30" ht="15.75" customHeight="1" x14ac:dyDescent="0.2">
      <c r="A152" s="158"/>
      <c r="B152" s="31"/>
      <c r="C152" s="79"/>
      <c r="D152" s="80"/>
      <c r="E152" s="81"/>
      <c r="F152" s="82"/>
      <c r="G152" s="83"/>
      <c r="H152" s="84"/>
      <c r="I152" s="81"/>
      <c r="J152" s="82"/>
      <c r="K152" s="83"/>
      <c r="L152" s="85"/>
      <c r="M152" s="86"/>
      <c r="N152" s="87"/>
      <c r="O152" s="88"/>
      <c r="P152" s="89"/>
      <c r="Q152" s="90"/>
      <c r="R152" s="160">
        <f>Q152</f>
        <v>0</v>
      </c>
      <c r="S152" s="6"/>
      <c r="T152" s="6"/>
      <c r="U152" s="7"/>
      <c r="V152" s="7"/>
      <c r="W152" s="7"/>
      <c r="X152" s="7"/>
      <c r="Y152" s="7"/>
      <c r="Z152" s="7"/>
      <c r="AA152" s="7"/>
      <c r="AB152" s="91" t="str">
        <f>IF(AA152&lt;&gt;AA153,"S","")</f>
        <v/>
      </c>
    </row>
    <row r="153" spans="1:30" ht="15.75" customHeight="1" x14ac:dyDescent="0.2">
      <c r="A153" s="159"/>
      <c r="B153" s="4"/>
      <c r="C153" s="92"/>
      <c r="D153" s="80"/>
      <c r="E153" s="93"/>
      <c r="F153" s="94"/>
      <c r="G153" s="95"/>
      <c r="H153" s="96"/>
      <c r="I153" s="93"/>
      <c r="J153" s="94"/>
      <c r="K153" s="95"/>
      <c r="L153" s="97"/>
      <c r="M153" s="98"/>
      <c r="N153" s="99"/>
      <c r="O153" s="88"/>
      <c r="P153" s="89"/>
      <c r="Q153" s="78"/>
      <c r="R153" s="161"/>
      <c r="S153" s="6"/>
      <c r="T153" s="6"/>
      <c r="U153" s="7"/>
      <c r="V153" s="7"/>
      <c r="W153" s="7"/>
      <c r="X153" s="7"/>
      <c r="Y153" s="7"/>
      <c r="Z153" s="7"/>
      <c r="AA153" s="7"/>
      <c r="AB153" s="91" t="str">
        <f>AB152</f>
        <v/>
      </c>
    </row>
    <row r="154" spans="1:30" ht="15.75" customHeight="1" x14ac:dyDescent="0.2">
      <c r="A154" s="158"/>
      <c r="B154" s="31"/>
      <c r="C154" s="79"/>
      <c r="D154" s="80"/>
      <c r="E154" s="81"/>
      <c r="F154" s="82"/>
      <c r="G154" s="83"/>
      <c r="H154" s="84"/>
      <c r="I154" s="81"/>
      <c r="J154" s="82"/>
      <c r="K154" s="83"/>
      <c r="L154" s="85"/>
      <c r="M154" s="86"/>
      <c r="N154" s="87"/>
      <c r="O154" s="88"/>
      <c r="P154" s="89"/>
      <c r="Q154" s="90"/>
      <c r="R154" s="160">
        <f>Q154</f>
        <v>0</v>
      </c>
      <c r="S154" s="6"/>
      <c r="T154" s="6"/>
      <c r="U154" s="7"/>
      <c r="V154" s="7"/>
      <c r="W154" s="7"/>
      <c r="X154" s="7"/>
      <c r="Y154" s="7"/>
      <c r="Z154" s="7"/>
      <c r="AA154" s="7"/>
      <c r="AB154" s="91" t="str">
        <f>IF(AA154&lt;&gt;AA155,"S","")</f>
        <v/>
      </c>
    </row>
    <row r="155" spans="1:30" ht="15.75" customHeight="1" x14ac:dyDescent="0.2">
      <c r="A155" s="159"/>
      <c r="B155" s="4"/>
      <c r="C155" s="92"/>
      <c r="D155" s="80"/>
      <c r="E155" s="93"/>
      <c r="F155" s="94"/>
      <c r="G155" s="95"/>
      <c r="H155" s="96"/>
      <c r="I155" s="93"/>
      <c r="J155" s="94"/>
      <c r="K155" s="95"/>
      <c r="L155" s="97"/>
      <c r="M155" s="98"/>
      <c r="N155" s="99"/>
      <c r="O155" s="88"/>
      <c r="P155" s="89"/>
      <c r="Q155" s="78"/>
      <c r="R155" s="161"/>
      <c r="S155" s="6"/>
      <c r="T155" s="6"/>
      <c r="U155" s="7"/>
      <c r="V155" s="7"/>
      <c r="W155" s="7"/>
      <c r="X155" s="7"/>
      <c r="Y155" s="7"/>
      <c r="Z155" s="7"/>
      <c r="AA155" s="7"/>
      <c r="AB155" s="91" t="str">
        <f>AB154</f>
        <v/>
      </c>
    </row>
    <row r="156" spans="1:30" ht="15.75" customHeight="1" x14ac:dyDescent="0.2">
      <c r="A156" s="158"/>
      <c r="B156" s="31"/>
      <c r="C156" s="79"/>
      <c r="D156" s="80"/>
      <c r="E156" s="81"/>
      <c r="F156" s="82"/>
      <c r="G156" s="83"/>
      <c r="H156" s="84"/>
      <c r="I156" s="81"/>
      <c r="J156" s="82"/>
      <c r="K156" s="83"/>
      <c r="L156" s="85"/>
      <c r="M156" s="86"/>
      <c r="N156" s="87"/>
      <c r="O156" s="88"/>
      <c r="P156" s="89"/>
      <c r="Q156" s="90"/>
      <c r="R156" s="160">
        <f>Q156</f>
        <v>0</v>
      </c>
      <c r="S156" s="6"/>
      <c r="T156" s="6"/>
      <c r="U156" s="7"/>
      <c r="V156" s="7"/>
      <c r="W156" s="7"/>
      <c r="X156" s="7"/>
      <c r="Y156" s="7"/>
      <c r="Z156" s="7"/>
      <c r="AA156" s="7"/>
      <c r="AB156" s="91" t="str">
        <f>IF(AA156&lt;&gt;AA157,"S","")</f>
        <v/>
      </c>
    </row>
    <row r="157" spans="1:30" ht="15.75" customHeight="1" x14ac:dyDescent="0.2">
      <c r="A157" s="159"/>
      <c r="B157" s="4"/>
      <c r="C157" s="92"/>
      <c r="D157" s="80"/>
      <c r="E157" s="93"/>
      <c r="F157" s="94"/>
      <c r="G157" s="95"/>
      <c r="H157" s="96"/>
      <c r="I157" s="93"/>
      <c r="J157" s="94"/>
      <c r="K157" s="95"/>
      <c r="L157" s="97"/>
      <c r="M157" s="98"/>
      <c r="N157" s="99"/>
      <c r="O157" s="88"/>
      <c r="P157" s="89"/>
      <c r="Q157" s="78"/>
      <c r="R157" s="161"/>
      <c r="S157" s="6"/>
      <c r="T157" s="6"/>
      <c r="U157" s="7"/>
      <c r="V157" s="7"/>
      <c r="W157" s="7"/>
      <c r="X157" s="7"/>
      <c r="Y157" s="7"/>
      <c r="Z157" s="7"/>
      <c r="AA157" s="7"/>
      <c r="AB157" s="91" t="str">
        <f>AB156</f>
        <v/>
      </c>
    </row>
    <row r="158" spans="1:30" ht="15.75" customHeight="1" x14ac:dyDescent="0.2">
      <c r="A158" s="158"/>
      <c r="B158" s="31"/>
      <c r="C158" s="79"/>
      <c r="D158" s="80"/>
      <c r="E158" s="81"/>
      <c r="F158" s="82"/>
      <c r="G158" s="83"/>
      <c r="H158" s="84"/>
      <c r="I158" s="81"/>
      <c r="J158" s="82"/>
      <c r="K158" s="83"/>
      <c r="L158" s="85"/>
      <c r="M158" s="86"/>
      <c r="N158" s="87"/>
      <c r="O158" s="88"/>
      <c r="P158" s="89"/>
      <c r="Q158" s="90"/>
      <c r="R158" s="160">
        <f>Q158</f>
        <v>0</v>
      </c>
      <c r="S158" s="6"/>
      <c r="T158" s="6"/>
      <c r="U158" s="7"/>
      <c r="V158" s="7"/>
      <c r="W158" s="7"/>
      <c r="X158" s="7"/>
      <c r="Y158" s="7"/>
      <c r="Z158" s="7"/>
      <c r="AA158" s="7"/>
      <c r="AB158" s="91" t="str">
        <f>IF(AA158&lt;&gt;AA159,"S","")</f>
        <v/>
      </c>
    </row>
    <row r="159" spans="1:30" ht="15.75" customHeight="1" x14ac:dyDescent="0.2">
      <c r="A159" s="159"/>
      <c r="B159" s="4"/>
      <c r="C159" s="92"/>
      <c r="D159" s="80"/>
      <c r="E159" s="93"/>
      <c r="F159" s="94"/>
      <c r="G159" s="95"/>
      <c r="H159" s="96"/>
      <c r="I159" s="93"/>
      <c r="J159" s="94"/>
      <c r="K159" s="95"/>
      <c r="L159" s="97"/>
      <c r="M159" s="98"/>
      <c r="N159" s="99"/>
      <c r="O159" s="88"/>
      <c r="P159" s="89"/>
      <c r="Q159" s="78"/>
      <c r="R159" s="161"/>
      <c r="S159" s="6"/>
      <c r="T159" s="6"/>
      <c r="U159" s="7"/>
      <c r="V159" s="7"/>
      <c r="W159" s="7"/>
      <c r="X159" s="7"/>
      <c r="Y159" s="7"/>
      <c r="Z159" s="7"/>
      <c r="AA159" s="7"/>
      <c r="AB159" s="91" t="str">
        <f>AB158</f>
        <v/>
      </c>
    </row>
    <row r="160" spans="1:30" ht="15.75" customHeight="1" x14ac:dyDescent="0.2">
      <c r="A160" s="158"/>
      <c r="B160" s="31"/>
      <c r="C160" s="79"/>
      <c r="D160" s="80"/>
      <c r="E160" s="81"/>
      <c r="F160" s="82"/>
      <c r="G160" s="83"/>
      <c r="H160" s="84"/>
      <c r="I160" s="81"/>
      <c r="J160" s="82"/>
      <c r="K160" s="83"/>
      <c r="L160" s="85"/>
      <c r="M160" s="86"/>
      <c r="N160" s="87"/>
      <c r="O160" s="88"/>
      <c r="P160" s="89"/>
      <c r="Q160" s="90"/>
      <c r="R160" s="160">
        <f>Q160</f>
        <v>0</v>
      </c>
      <c r="S160" s="6"/>
      <c r="T160" s="6"/>
      <c r="U160" s="7"/>
      <c r="V160" s="7"/>
      <c r="W160" s="7"/>
      <c r="X160" s="7"/>
      <c r="Y160" s="7"/>
      <c r="Z160" s="7"/>
      <c r="AA160" s="7"/>
      <c r="AB160" s="91" t="str">
        <f>IF(AA160&lt;&gt;AA161,"S","")</f>
        <v/>
      </c>
    </row>
    <row r="161" spans="1:28" ht="15.75" customHeight="1" x14ac:dyDescent="0.2">
      <c r="A161" s="159"/>
      <c r="B161" s="4"/>
      <c r="C161" s="92"/>
      <c r="D161" s="80"/>
      <c r="E161" s="93"/>
      <c r="F161" s="94"/>
      <c r="G161" s="95"/>
      <c r="H161" s="96"/>
      <c r="I161" s="93"/>
      <c r="J161" s="94"/>
      <c r="K161" s="95"/>
      <c r="L161" s="97"/>
      <c r="M161" s="98"/>
      <c r="N161" s="99"/>
      <c r="O161" s="88"/>
      <c r="P161" s="89"/>
      <c r="Q161" s="78"/>
      <c r="R161" s="161"/>
      <c r="S161" s="6"/>
      <c r="T161" s="6"/>
      <c r="U161" s="7"/>
      <c r="V161" s="7"/>
      <c r="W161" s="7"/>
      <c r="X161" s="7"/>
      <c r="Y161" s="7"/>
      <c r="Z161" s="7"/>
      <c r="AA161" s="7"/>
      <c r="AB161" s="91" t="str">
        <f>AB160</f>
        <v/>
      </c>
    </row>
    <row r="162" spans="1:28" ht="15.75" customHeight="1" x14ac:dyDescent="0.2">
      <c r="A162" s="158"/>
      <c r="B162" s="31"/>
      <c r="C162" s="79"/>
      <c r="D162" s="80"/>
      <c r="E162" s="81"/>
      <c r="F162" s="82"/>
      <c r="G162" s="83"/>
      <c r="H162" s="84"/>
      <c r="I162" s="81"/>
      <c r="J162" s="82"/>
      <c r="K162" s="83"/>
      <c r="L162" s="85"/>
      <c r="M162" s="86"/>
      <c r="N162" s="87"/>
      <c r="O162" s="88"/>
      <c r="P162" s="89"/>
      <c r="Q162" s="90"/>
      <c r="R162" s="160">
        <f>Q162</f>
        <v>0</v>
      </c>
      <c r="S162" s="6"/>
      <c r="T162" s="6"/>
      <c r="U162" s="7"/>
      <c r="V162" s="7"/>
      <c r="W162" s="7"/>
      <c r="X162" s="7"/>
      <c r="Y162" s="7"/>
      <c r="Z162" s="7"/>
      <c r="AA162" s="7"/>
      <c r="AB162" s="91" t="str">
        <f>IF(AA162&lt;&gt;AA163,"S","")</f>
        <v/>
      </c>
    </row>
    <row r="163" spans="1:28" ht="15.75" customHeight="1" x14ac:dyDescent="0.2">
      <c r="A163" s="159"/>
      <c r="B163" s="4"/>
      <c r="C163" s="92"/>
      <c r="D163" s="100"/>
      <c r="E163" s="93"/>
      <c r="F163" s="94"/>
      <c r="G163" s="95"/>
      <c r="H163" s="96"/>
      <c r="I163" s="93"/>
      <c r="J163" s="94"/>
      <c r="K163" s="95"/>
      <c r="L163" s="97"/>
      <c r="M163" s="98"/>
      <c r="N163" s="99"/>
      <c r="O163" s="88"/>
      <c r="P163" s="89"/>
      <c r="Q163" s="78"/>
      <c r="R163" s="161"/>
      <c r="S163" s="6"/>
      <c r="T163" s="6"/>
      <c r="U163" s="7"/>
      <c r="V163" s="7"/>
      <c r="W163" s="7"/>
      <c r="X163" s="7"/>
      <c r="Y163" s="7"/>
      <c r="Z163" s="7"/>
      <c r="AA163" s="7"/>
      <c r="AB163" s="91" t="str">
        <f>AB162</f>
        <v/>
      </c>
    </row>
    <row r="164" spans="1:28" ht="15.75" customHeight="1" x14ac:dyDescent="0.2">
      <c r="A164" s="158"/>
      <c r="B164" s="31"/>
      <c r="C164" s="79"/>
      <c r="D164" s="80"/>
      <c r="E164" s="81"/>
      <c r="F164" s="82"/>
      <c r="G164" s="83"/>
      <c r="H164" s="84"/>
      <c r="I164" s="81"/>
      <c r="J164" s="82"/>
      <c r="K164" s="83"/>
      <c r="L164" s="85"/>
      <c r="M164" s="86"/>
      <c r="N164" s="87"/>
      <c r="O164" s="88"/>
      <c r="P164" s="89"/>
      <c r="Q164" s="90"/>
      <c r="R164" s="160">
        <f>Q164</f>
        <v>0</v>
      </c>
      <c r="S164" s="6"/>
      <c r="T164" s="6"/>
      <c r="U164" s="7"/>
      <c r="V164" s="7"/>
      <c r="W164" s="7"/>
      <c r="X164" s="7"/>
      <c r="Y164" s="7"/>
      <c r="Z164" s="7"/>
      <c r="AA164" s="7"/>
      <c r="AB164" s="91" t="str">
        <f>IF(AA164&lt;&gt;AA165,"S","")</f>
        <v/>
      </c>
    </row>
    <row r="165" spans="1:28" ht="15.75" customHeight="1" x14ac:dyDescent="0.2">
      <c r="A165" s="159"/>
      <c r="B165" s="4"/>
      <c r="C165" s="92"/>
      <c r="D165" s="100"/>
      <c r="E165" s="93"/>
      <c r="F165" s="94"/>
      <c r="G165" s="95"/>
      <c r="H165" s="96"/>
      <c r="I165" s="93"/>
      <c r="J165" s="94"/>
      <c r="K165" s="95"/>
      <c r="L165" s="97"/>
      <c r="M165" s="98"/>
      <c r="N165" s="99"/>
      <c r="O165" s="88"/>
      <c r="P165" s="89"/>
      <c r="Q165" s="78"/>
      <c r="R165" s="161"/>
      <c r="S165" s="6"/>
      <c r="T165" s="6"/>
      <c r="U165" s="7"/>
      <c r="V165" s="7"/>
      <c r="W165" s="7"/>
      <c r="X165" s="7"/>
      <c r="Y165" s="7"/>
      <c r="Z165" s="7"/>
      <c r="AA165" s="7"/>
      <c r="AB165" s="91" t="str">
        <f>AB164</f>
        <v/>
      </c>
    </row>
    <row r="166" spans="1:28" ht="15.75" customHeight="1" x14ac:dyDescent="0.2">
      <c r="A166" s="158"/>
      <c r="B166" s="31"/>
      <c r="C166" s="79"/>
      <c r="D166" s="80"/>
      <c r="E166" s="81"/>
      <c r="F166" s="82"/>
      <c r="G166" s="83"/>
      <c r="H166" s="84"/>
      <c r="I166" s="81"/>
      <c r="J166" s="82"/>
      <c r="K166" s="83"/>
      <c r="L166" s="85"/>
      <c r="M166" s="86"/>
      <c r="N166" s="87"/>
      <c r="O166" s="88"/>
      <c r="P166" s="89"/>
      <c r="Q166" s="90"/>
      <c r="R166" s="160">
        <f>Q166</f>
        <v>0</v>
      </c>
      <c r="S166" s="6"/>
      <c r="T166" s="6"/>
      <c r="U166" s="7"/>
      <c r="V166" s="7"/>
      <c r="W166" s="7"/>
      <c r="X166" s="7"/>
      <c r="Y166" s="7"/>
      <c r="Z166" s="7"/>
      <c r="AA166" s="7"/>
      <c r="AB166" s="91" t="str">
        <f>IF(AA166&lt;&gt;AA167,"S","")</f>
        <v/>
      </c>
    </row>
    <row r="167" spans="1:28" ht="15.75" customHeight="1" x14ac:dyDescent="0.2">
      <c r="A167" s="159"/>
      <c r="B167" s="4"/>
      <c r="C167" s="92"/>
      <c r="D167" s="100"/>
      <c r="E167" s="93"/>
      <c r="F167" s="94"/>
      <c r="G167" s="95"/>
      <c r="H167" s="96"/>
      <c r="I167" s="93"/>
      <c r="J167" s="94"/>
      <c r="K167" s="95"/>
      <c r="L167" s="97"/>
      <c r="M167" s="98"/>
      <c r="N167" s="99"/>
      <c r="O167" s="88"/>
      <c r="P167" s="89"/>
      <c r="Q167" s="78"/>
      <c r="R167" s="161"/>
      <c r="S167" s="6"/>
      <c r="T167" s="6"/>
      <c r="U167" s="7"/>
      <c r="V167" s="7"/>
      <c r="W167" s="7"/>
      <c r="X167" s="7"/>
      <c r="Y167" s="7"/>
      <c r="Z167" s="7"/>
      <c r="AA167" s="7"/>
      <c r="AB167" s="91" t="str">
        <f>AB166</f>
        <v/>
      </c>
    </row>
    <row r="168" spans="1:28" ht="17.25" customHeight="1" x14ac:dyDescent="0.2">
      <c r="A168" s="158"/>
      <c r="B168" s="31"/>
      <c r="C168" s="79"/>
      <c r="D168" s="80"/>
      <c r="E168" s="81"/>
      <c r="F168" s="82"/>
      <c r="G168" s="83"/>
      <c r="H168" s="84"/>
      <c r="I168" s="81"/>
      <c r="J168" s="82"/>
      <c r="K168" s="83"/>
      <c r="L168" s="85"/>
      <c r="M168" s="86"/>
      <c r="N168" s="87"/>
      <c r="O168" s="88"/>
      <c r="P168" s="89"/>
      <c r="Q168" s="90"/>
      <c r="R168" s="160">
        <f>Q168</f>
        <v>0</v>
      </c>
      <c r="S168" s="6"/>
      <c r="T168" s="6"/>
      <c r="U168" s="7"/>
      <c r="V168" s="7"/>
      <c r="W168" s="7"/>
      <c r="X168" s="7"/>
      <c r="Y168" s="7"/>
      <c r="Z168" s="7"/>
      <c r="AA168" s="7"/>
      <c r="AB168" s="91" t="str">
        <f>IF(AA168&lt;&gt;AA169,"S","")</f>
        <v/>
      </c>
    </row>
    <row r="169" spans="1:28" ht="15" customHeight="1" x14ac:dyDescent="0.2">
      <c r="A169" s="159"/>
      <c r="B169" s="4"/>
      <c r="C169" s="92"/>
      <c r="D169" s="100"/>
      <c r="E169" s="93"/>
      <c r="F169" s="94"/>
      <c r="G169" s="95"/>
      <c r="H169" s="96"/>
      <c r="I169" s="93"/>
      <c r="J169" s="94"/>
      <c r="K169" s="95"/>
      <c r="L169" s="97"/>
      <c r="M169" s="98"/>
      <c r="N169" s="99"/>
      <c r="O169" s="88"/>
      <c r="P169" s="89"/>
      <c r="Q169" s="78"/>
      <c r="R169" s="161"/>
      <c r="S169" s="6"/>
      <c r="T169" s="6"/>
      <c r="U169" s="7"/>
      <c r="V169" s="7"/>
      <c r="W169" s="7"/>
      <c r="X169" s="7"/>
      <c r="Y169" s="7"/>
      <c r="Z169" s="7"/>
      <c r="AA169" s="7"/>
      <c r="AB169" s="91" t="str">
        <f>AB168</f>
        <v/>
      </c>
    </row>
    <row r="170" spans="1:28" ht="15.75" customHeight="1" x14ac:dyDescent="0.2">
      <c r="A170" s="158"/>
      <c r="B170" s="31"/>
      <c r="C170" s="79"/>
      <c r="D170" s="80"/>
      <c r="E170" s="81"/>
      <c r="F170" s="82"/>
      <c r="G170" s="83"/>
      <c r="H170" s="84"/>
      <c r="I170" s="81"/>
      <c r="J170" s="82"/>
      <c r="K170" s="83"/>
      <c r="L170" s="85"/>
      <c r="M170" s="86"/>
      <c r="N170" s="87"/>
      <c r="O170" s="88"/>
      <c r="P170" s="89"/>
      <c r="Q170" s="90"/>
      <c r="R170" s="160">
        <f>Q170</f>
        <v>0</v>
      </c>
      <c r="S170" s="6"/>
      <c r="T170" s="6"/>
      <c r="U170" s="7"/>
      <c r="V170" s="7"/>
      <c r="W170" s="7"/>
      <c r="X170" s="7"/>
      <c r="Y170" s="7"/>
      <c r="Z170" s="7"/>
      <c r="AA170" s="7"/>
      <c r="AB170" s="91" t="str">
        <f>IF(AA170&lt;&gt;AA171,"S","")</f>
        <v/>
      </c>
    </row>
    <row r="171" spans="1:28" ht="15.75" customHeight="1" x14ac:dyDescent="0.2">
      <c r="A171" s="159"/>
      <c r="B171" s="4"/>
      <c r="C171" s="92"/>
      <c r="D171" s="100"/>
      <c r="E171" s="93"/>
      <c r="F171" s="94"/>
      <c r="G171" s="95"/>
      <c r="H171" s="96"/>
      <c r="I171" s="93"/>
      <c r="J171" s="94"/>
      <c r="K171" s="95"/>
      <c r="L171" s="97"/>
      <c r="M171" s="98"/>
      <c r="N171" s="99"/>
      <c r="O171" s="88"/>
      <c r="P171" s="89"/>
      <c r="Q171" s="78"/>
      <c r="R171" s="161"/>
      <c r="S171" s="6"/>
      <c r="T171" s="6"/>
      <c r="U171" s="7"/>
      <c r="V171" s="7"/>
      <c r="W171" s="7"/>
      <c r="X171" s="7"/>
      <c r="Y171" s="7"/>
      <c r="Z171" s="7"/>
      <c r="AA171" s="7"/>
      <c r="AB171" s="91" t="str">
        <f>AB170</f>
        <v/>
      </c>
    </row>
    <row r="172" spans="1:28" ht="15.75" customHeight="1" x14ac:dyDescent="0.2">
      <c r="A172" s="158"/>
      <c r="B172" s="31"/>
      <c r="C172" s="79"/>
      <c r="D172" s="80"/>
      <c r="E172" s="81"/>
      <c r="F172" s="82"/>
      <c r="G172" s="83"/>
      <c r="H172" s="84"/>
      <c r="I172" s="81"/>
      <c r="J172" s="82"/>
      <c r="K172" s="83"/>
      <c r="L172" s="85"/>
      <c r="M172" s="86"/>
      <c r="N172" s="87"/>
      <c r="O172" s="88"/>
      <c r="P172" s="89"/>
      <c r="Q172" s="90"/>
      <c r="R172" s="160">
        <f>Q172</f>
        <v>0</v>
      </c>
      <c r="S172" s="6"/>
      <c r="T172" s="6"/>
      <c r="U172" s="7"/>
      <c r="V172" s="7"/>
      <c r="W172" s="7"/>
      <c r="X172" s="7"/>
      <c r="Y172" s="7"/>
      <c r="Z172" s="7"/>
      <c r="AA172" s="7"/>
      <c r="AB172" s="91" t="str">
        <f>IF(AA172&lt;&gt;AA173,"S","")</f>
        <v/>
      </c>
    </row>
    <row r="173" spans="1:28" ht="15.75" customHeight="1" x14ac:dyDescent="0.2">
      <c r="A173" s="159"/>
      <c r="B173" s="4"/>
      <c r="C173" s="92"/>
      <c r="D173" s="80"/>
      <c r="E173" s="93"/>
      <c r="F173" s="94"/>
      <c r="G173" s="95"/>
      <c r="H173" s="96"/>
      <c r="I173" s="93"/>
      <c r="J173" s="94"/>
      <c r="K173" s="95"/>
      <c r="L173" s="97"/>
      <c r="M173" s="98"/>
      <c r="N173" s="99"/>
      <c r="O173" s="88"/>
      <c r="P173" s="89"/>
      <c r="Q173" s="78"/>
      <c r="R173" s="161"/>
      <c r="S173" s="6"/>
      <c r="T173" s="6"/>
      <c r="U173" s="7"/>
      <c r="V173" s="7"/>
      <c r="W173" s="7"/>
      <c r="X173" s="7"/>
      <c r="Y173" s="7"/>
      <c r="Z173" s="7"/>
      <c r="AA173" s="7"/>
      <c r="AB173" s="91" t="str">
        <f>AB172</f>
        <v/>
      </c>
    </row>
    <row r="174" spans="1:28" ht="15.75" customHeight="1" x14ac:dyDescent="0.2">
      <c r="A174" s="158"/>
      <c r="B174" s="31"/>
      <c r="C174" s="79"/>
      <c r="D174" s="80"/>
      <c r="E174" s="81"/>
      <c r="F174" s="82"/>
      <c r="G174" s="83"/>
      <c r="H174" s="84"/>
      <c r="I174" s="81"/>
      <c r="J174" s="82"/>
      <c r="K174" s="83"/>
      <c r="L174" s="85"/>
      <c r="M174" s="86"/>
      <c r="N174" s="87"/>
      <c r="O174" s="88"/>
      <c r="P174" s="89"/>
      <c r="Q174" s="90"/>
      <c r="R174" s="160">
        <f>Q174</f>
        <v>0</v>
      </c>
      <c r="S174" s="6"/>
      <c r="T174" s="6"/>
      <c r="U174" s="7"/>
      <c r="V174" s="7"/>
      <c r="W174" s="7"/>
      <c r="X174" s="7"/>
      <c r="Y174" s="7"/>
      <c r="Z174" s="7"/>
      <c r="AA174" s="7"/>
      <c r="AB174" s="91" t="str">
        <f>IF(AA174&lt;&gt;AA175,"S","")</f>
        <v/>
      </c>
    </row>
    <row r="175" spans="1:28" ht="15.75" customHeight="1" x14ac:dyDescent="0.2">
      <c r="A175" s="159"/>
      <c r="B175" s="4"/>
      <c r="C175" s="92"/>
      <c r="D175" s="80"/>
      <c r="E175" s="93"/>
      <c r="F175" s="94"/>
      <c r="G175" s="95"/>
      <c r="H175" s="96"/>
      <c r="I175" s="93"/>
      <c r="J175" s="94"/>
      <c r="K175" s="95"/>
      <c r="L175" s="97"/>
      <c r="M175" s="98"/>
      <c r="N175" s="99"/>
      <c r="O175" s="88"/>
      <c r="P175" s="89"/>
      <c r="Q175" s="78"/>
      <c r="R175" s="161"/>
      <c r="S175" s="6"/>
      <c r="T175" s="6"/>
      <c r="U175" s="7"/>
      <c r="V175" s="7"/>
      <c r="W175" s="7"/>
      <c r="X175" s="7"/>
      <c r="Y175" s="7"/>
      <c r="Z175" s="7"/>
      <c r="AA175" s="7"/>
      <c r="AB175" s="91" t="str">
        <f>AB174</f>
        <v/>
      </c>
    </row>
    <row r="176" spans="1:28" ht="20.25" customHeight="1" x14ac:dyDescent="0.2">
      <c r="A176" s="158"/>
      <c r="B176" s="31"/>
      <c r="C176" s="79"/>
      <c r="D176" s="80"/>
      <c r="E176" s="81"/>
      <c r="F176" s="82"/>
      <c r="G176" s="83"/>
      <c r="H176" s="84"/>
      <c r="I176" s="81"/>
      <c r="J176" s="82"/>
      <c r="K176" s="83"/>
      <c r="L176" s="85"/>
      <c r="M176" s="86"/>
      <c r="N176" s="87"/>
      <c r="O176" s="88"/>
      <c r="P176" s="89"/>
      <c r="Q176" s="90"/>
      <c r="R176" s="160">
        <f>Q176</f>
        <v>0</v>
      </c>
      <c r="S176" s="6"/>
      <c r="T176" s="6"/>
      <c r="U176" s="7"/>
      <c r="V176" s="7"/>
      <c r="W176" s="7"/>
      <c r="X176" s="7"/>
      <c r="Y176" s="7"/>
      <c r="Z176" s="7"/>
      <c r="AA176" s="7"/>
      <c r="AB176" s="91" t="str">
        <f>IF(AA176&lt;&gt;AA177,"S","")</f>
        <v/>
      </c>
    </row>
    <row r="177" spans="1:28" ht="20.25" customHeight="1" x14ac:dyDescent="0.2">
      <c r="A177" s="159"/>
      <c r="B177" s="4"/>
      <c r="C177" s="92"/>
      <c r="D177" s="80"/>
      <c r="E177" s="93"/>
      <c r="F177" s="94"/>
      <c r="G177" s="95"/>
      <c r="H177" s="96"/>
      <c r="I177" s="93"/>
      <c r="J177" s="94"/>
      <c r="K177" s="95"/>
      <c r="L177" s="97"/>
      <c r="M177" s="98"/>
      <c r="N177" s="99"/>
      <c r="O177" s="88"/>
      <c r="P177" s="89"/>
      <c r="Q177" s="78"/>
      <c r="R177" s="161"/>
      <c r="S177" s="6"/>
      <c r="T177" s="6"/>
      <c r="U177" s="7"/>
      <c r="V177" s="7"/>
      <c r="W177" s="7"/>
      <c r="X177" s="7"/>
      <c r="Y177" s="7"/>
      <c r="Z177" s="7"/>
      <c r="AA177" s="7"/>
      <c r="AB177" s="91" t="str">
        <f>AB176</f>
        <v/>
      </c>
    </row>
    <row r="178" spans="1:28" ht="20.25" customHeight="1" x14ac:dyDescent="0.2">
      <c r="A178" s="158"/>
      <c r="B178" s="31"/>
      <c r="C178" s="79"/>
      <c r="D178" s="80"/>
      <c r="E178" s="81"/>
      <c r="F178" s="82"/>
      <c r="G178" s="83"/>
      <c r="H178" s="84"/>
      <c r="I178" s="81"/>
      <c r="J178" s="82"/>
      <c r="K178" s="83"/>
      <c r="L178" s="85"/>
      <c r="M178" s="86"/>
      <c r="N178" s="87"/>
      <c r="O178" s="88"/>
      <c r="P178" s="89"/>
      <c r="Q178" s="90"/>
      <c r="R178" s="160">
        <f>Q178</f>
        <v>0</v>
      </c>
      <c r="S178" s="6"/>
      <c r="T178" s="6"/>
      <c r="U178" s="7"/>
      <c r="V178" s="7"/>
      <c r="W178" s="7"/>
      <c r="X178" s="7"/>
      <c r="Y178" s="7"/>
      <c r="Z178" s="7"/>
      <c r="AA178" s="7"/>
      <c r="AB178" s="91" t="str">
        <f>IF(AA178&lt;&gt;AA179,"S","")</f>
        <v/>
      </c>
    </row>
    <row r="179" spans="1:28" ht="20.25" customHeight="1" x14ac:dyDescent="0.2">
      <c r="A179" s="159"/>
      <c r="B179" s="4"/>
      <c r="C179" s="92"/>
      <c r="D179" s="80"/>
      <c r="E179" s="93"/>
      <c r="F179" s="94"/>
      <c r="G179" s="95"/>
      <c r="H179" s="96"/>
      <c r="I179" s="93"/>
      <c r="J179" s="94"/>
      <c r="K179" s="95"/>
      <c r="L179" s="97"/>
      <c r="M179" s="98"/>
      <c r="N179" s="99"/>
      <c r="O179" s="88"/>
      <c r="P179" s="89"/>
      <c r="Q179" s="78"/>
      <c r="R179" s="161"/>
      <c r="S179" s="6"/>
      <c r="T179" s="6"/>
      <c r="U179" s="7"/>
      <c r="V179" s="7"/>
      <c r="W179" s="7"/>
      <c r="X179" s="7"/>
      <c r="Y179" s="7"/>
      <c r="Z179" s="7"/>
      <c r="AA179" s="7"/>
      <c r="AB179" s="91" t="str">
        <f>AB178</f>
        <v/>
      </c>
    </row>
    <row r="180" spans="1:28" ht="20.25" customHeight="1" x14ac:dyDescent="0.2">
      <c r="A180" s="158"/>
      <c r="B180" s="31"/>
      <c r="C180" s="79"/>
      <c r="D180" s="80"/>
      <c r="E180" s="81"/>
      <c r="F180" s="82"/>
      <c r="G180" s="83"/>
      <c r="H180" s="84"/>
      <c r="I180" s="81"/>
      <c r="J180" s="82"/>
      <c r="K180" s="83"/>
      <c r="L180" s="85"/>
      <c r="M180" s="86"/>
      <c r="N180" s="87"/>
      <c r="O180" s="88"/>
      <c r="P180" s="89"/>
      <c r="Q180" s="90"/>
      <c r="R180" s="160">
        <f>Q180</f>
        <v>0</v>
      </c>
      <c r="S180" s="6"/>
      <c r="T180" s="6"/>
      <c r="U180" s="7"/>
      <c r="V180" s="7"/>
      <c r="W180" s="7"/>
      <c r="X180" s="7"/>
      <c r="Y180" s="7"/>
      <c r="Z180" s="7"/>
      <c r="AA180" s="7"/>
      <c r="AB180" s="91" t="str">
        <f>IF(AA180&lt;&gt;AA181,"S","")</f>
        <v/>
      </c>
    </row>
    <row r="181" spans="1:28" ht="20.25" customHeight="1" x14ac:dyDescent="0.2">
      <c r="A181" s="159"/>
      <c r="B181" s="4"/>
      <c r="C181" s="92"/>
      <c r="D181" s="80"/>
      <c r="E181" s="93"/>
      <c r="F181" s="94"/>
      <c r="G181" s="95"/>
      <c r="H181" s="96"/>
      <c r="I181" s="93"/>
      <c r="J181" s="94"/>
      <c r="K181" s="95"/>
      <c r="L181" s="97"/>
      <c r="M181" s="98"/>
      <c r="N181" s="99"/>
      <c r="O181" s="88"/>
      <c r="P181" s="89"/>
      <c r="Q181" s="78"/>
      <c r="R181" s="161"/>
      <c r="S181" s="6"/>
      <c r="T181" s="6"/>
      <c r="U181" s="7"/>
      <c r="V181" s="7"/>
      <c r="W181" s="7"/>
      <c r="X181" s="7"/>
      <c r="Y181" s="7"/>
      <c r="Z181" s="7"/>
      <c r="AA181" s="7"/>
      <c r="AB181" s="91" t="str">
        <f>AB180</f>
        <v/>
      </c>
    </row>
  </sheetData>
  <mergeCells count="516">
    <mergeCell ref="W36:W37"/>
    <mergeCell ref="W38:W39"/>
    <mergeCell ref="Y38:Y39"/>
    <mergeCell ref="AA38:AA39"/>
    <mergeCell ref="W32:W33"/>
    <mergeCell ref="W34:W35"/>
    <mergeCell ref="Y34:Y35"/>
    <mergeCell ref="AA34:AA35"/>
    <mergeCell ref="R38:R39"/>
    <mergeCell ref="S38:S39"/>
    <mergeCell ref="T38:T39"/>
    <mergeCell ref="Y40:Y41"/>
    <mergeCell ref="AA40:AA41"/>
    <mergeCell ref="S42:S43"/>
    <mergeCell ref="T42:T43"/>
    <mergeCell ref="W42:W43"/>
    <mergeCell ref="Y42:Y43"/>
    <mergeCell ref="AA42:AA43"/>
    <mergeCell ref="R42:R43"/>
    <mergeCell ref="R44:R45"/>
    <mergeCell ref="S44:S45"/>
    <mergeCell ref="T44:T45"/>
    <mergeCell ref="W44:W45"/>
    <mergeCell ref="Y44:Y45"/>
    <mergeCell ref="AA44:AA45"/>
    <mergeCell ref="AA58:AA59"/>
    <mergeCell ref="AA60:AA61"/>
    <mergeCell ref="S54:S55"/>
    <mergeCell ref="T54:T55"/>
    <mergeCell ref="R54:R55"/>
    <mergeCell ref="R56:R57"/>
    <mergeCell ref="S56:S57"/>
    <mergeCell ref="T56:T57"/>
    <mergeCell ref="R48:R49"/>
    <mergeCell ref="S48:S49"/>
    <mergeCell ref="T48:T49"/>
    <mergeCell ref="W48:W49"/>
    <mergeCell ref="Y48:Y49"/>
    <mergeCell ref="AA48:AA49"/>
    <mergeCell ref="R50:R51"/>
    <mergeCell ref="AA50:AA51"/>
    <mergeCell ref="W50:W51"/>
    <mergeCell ref="Y50:Y51"/>
    <mergeCell ref="S60:S61"/>
    <mergeCell ref="T60:T61"/>
    <mergeCell ref="W54:W55"/>
    <mergeCell ref="W56:W57"/>
    <mergeCell ref="Y56:Y57"/>
    <mergeCell ref="W58:W59"/>
    <mergeCell ref="Y58:Y59"/>
    <mergeCell ref="W60:W61"/>
    <mergeCell ref="Y60:Y61"/>
    <mergeCell ref="S96:S97"/>
    <mergeCell ref="T96:T97"/>
    <mergeCell ref="R92:R93"/>
    <mergeCell ref="S92:S93"/>
    <mergeCell ref="T92:T93"/>
    <mergeCell ref="R94:R95"/>
    <mergeCell ref="S94:S95"/>
    <mergeCell ref="T94:T95"/>
    <mergeCell ref="R96:R97"/>
    <mergeCell ref="R30:R31"/>
    <mergeCell ref="R32:R33"/>
    <mergeCell ref="S32:S33"/>
    <mergeCell ref="T32:T33"/>
    <mergeCell ref="R34:R35"/>
    <mergeCell ref="S34:S35"/>
    <mergeCell ref="T34:T35"/>
    <mergeCell ref="S90:S91"/>
    <mergeCell ref="T90:T91"/>
    <mergeCell ref="R36:R37"/>
    <mergeCell ref="S36:S37"/>
    <mergeCell ref="T36:T37"/>
    <mergeCell ref="R88:R89"/>
    <mergeCell ref="S88:S89"/>
    <mergeCell ref="T88:T89"/>
    <mergeCell ref="R90:R91"/>
    <mergeCell ref="R86:R87"/>
    <mergeCell ref="S86:S87"/>
    <mergeCell ref="T86:T87"/>
    <mergeCell ref="S50:S51"/>
    <mergeCell ref="T50:T51"/>
    <mergeCell ref="R52:R53"/>
    <mergeCell ref="S52:S53"/>
    <mergeCell ref="T52:T53"/>
    <mergeCell ref="R98:R99"/>
    <mergeCell ref="S98:S99"/>
    <mergeCell ref="T98:T99"/>
    <mergeCell ref="R100:R101"/>
    <mergeCell ref="S100:S101"/>
    <mergeCell ref="T100:T101"/>
    <mergeCell ref="R102:R103"/>
    <mergeCell ref="S112:S113"/>
    <mergeCell ref="T112:T113"/>
    <mergeCell ref="R110:R111"/>
    <mergeCell ref="S110:S111"/>
    <mergeCell ref="T110:T111"/>
    <mergeCell ref="R112:R113"/>
    <mergeCell ref="S108:S109"/>
    <mergeCell ref="T108:T109"/>
    <mergeCell ref="R104:R105"/>
    <mergeCell ref="S104:S105"/>
    <mergeCell ref="T104:T105"/>
    <mergeCell ref="R106:R107"/>
    <mergeCell ref="S106:S107"/>
    <mergeCell ref="T106:T107"/>
    <mergeCell ref="R108:R109"/>
    <mergeCell ref="S102:S103"/>
    <mergeCell ref="T102:T103"/>
    <mergeCell ref="S66:S67"/>
    <mergeCell ref="T66:T67"/>
    <mergeCell ref="R62:R63"/>
    <mergeCell ref="S62:S63"/>
    <mergeCell ref="T62:T63"/>
    <mergeCell ref="R64:R65"/>
    <mergeCell ref="S64:S65"/>
    <mergeCell ref="T64:T65"/>
    <mergeCell ref="R66:R67"/>
    <mergeCell ref="W88:W89"/>
    <mergeCell ref="Y88:Y89"/>
    <mergeCell ref="W90:W91"/>
    <mergeCell ref="Y90:Y91"/>
    <mergeCell ref="W92:W93"/>
    <mergeCell ref="S72:S73"/>
    <mergeCell ref="T72:T73"/>
    <mergeCell ref="R68:R69"/>
    <mergeCell ref="S68:S69"/>
    <mergeCell ref="T68:T69"/>
    <mergeCell ref="R70:R71"/>
    <mergeCell ref="S70:S71"/>
    <mergeCell ref="T70:T71"/>
    <mergeCell ref="R72:R73"/>
    <mergeCell ref="Y6:Y7"/>
    <mergeCell ref="AA6:AA7"/>
    <mergeCell ref="AC6:AD147"/>
    <mergeCell ref="Y8:Y9"/>
    <mergeCell ref="AA8:AA9"/>
    <mergeCell ref="Y10:Y11"/>
    <mergeCell ref="Y12:Y13"/>
    <mergeCell ref="Y32:Y33"/>
    <mergeCell ref="AA32:AA33"/>
    <mergeCell ref="Y36:Y37"/>
    <mergeCell ref="AA36:AA37"/>
    <mergeCell ref="AA88:AA89"/>
    <mergeCell ref="AA90:AA91"/>
    <mergeCell ref="AA92:AA93"/>
    <mergeCell ref="AA94:AA95"/>
    <mergeCell ref="AA62:AA63"/>
    <mergeCell ref="AA64:AA65"/>
    <mergeCell ref="AA66:AA67"/>
    <mergeCell ref="AA68:AA69"/>
    <mergeCell ref="Y52:Y53"/>
    <mergeCell ref="AA52:AA53"/>
    <mergeCell ref="Y54:Y55"/>
    <mergeCell ref="AA54:AA55"/>
    <mergeCell ref="AA56:AA57"/>
    <mergeCell ref="R14:R15"/>
    <mergeCell ref="S14:S15"/>
    <mergeCell ref="T14:T15"/>
    <mergeCell ref="W14:W15"/>
    <mergeCell ref="R16:R17"/>
    <mergeCell ref="S16:S17"/>
    <mergeCell ref="T16:T17"/>
    <mergeCell ref="W16:W17"/>
    <mergeCell ref="S18:S19"/>
    <mergeCell ref="T18:T19"/>
    <mergeCell ref="W18:W19"/>
    <mergeCell ref="R18:R19"/>
    <mergeCell ref="R20:R21"/>
    <mergeCell ref="S20:S21"/>
    <mergeCell ref="T20:T21"/>
    <mergeCell ref="R22:R23"/>
    <mergeCell ref="S22:S23"/>
    <mergeCell ref="T22:T23"/>
    <mergeCell ref="R24:R25"/>
    <mergeCell ref="S24:S25"/>
    <mergeCell ref="T24:T25"/>
    <mergeCell ref="W20:W21"/>
    <mergeCell ref="W22:W23"/>
    <mergeCell ref="W24:W25"/>
    <mergeCell ref="R28:R29"/>
    <mergeCell ref="S28:S29"/>
    <mergeCell ref="T28:T29"/>
    <mergeCell ref="W28:W29"/>
    <mergeCell ref="S30:S31"/>
    <mergeCell ref="T30:T31"/>
    <mergeCell ref="W30:W31"/>
    <mergeCell ref="S132:S133"/>
    <mergeCell ref="T132:T133"/>
    <mergeCell ref="R124:R125"/>
    <mergeCell ref="S124:S125"/>
    <mergeCell ref="T124:T125"/>
    <mergeCell ref="R126:R127"/>
    <mergeCell ref="S126:S127"/>
    <mergeCell ref="T126:T127"/>
    <mergeCell ref="R128:R129"/>
    <mergeCell ref="T120:T121"/>
    <mergeCell ref="R122:R123"/>
    <mergeCell ref="S122:S123"/>
    <mergeCell ref="T122:T123"/>
    <mergeCell ref="S128:S129"/>
    <mergeCell ref="T128:T129"/>
    <mergeCell ref="R130:R131"/>
    <mergeCell ref="S130:S131"/>
    <mergeCell ref="Y20:Y21"/>
    <mergeCell ref="AA20:AA21"/>
    <mergeCell ref="Y22:Y23"/>
    <mergeCell ref="AA22:AA23"/>
    <mergeCell ref="Y24:Y25"/>
    <mergeCell ref="AA24:AA25"/>
    <mergeCell ref="Y26:Y27"/>
    <mergeCell ref="AA26:AA27"/>
    <mergeCell ref="R26:R27"/>
    <mergeCell ref="S26:S27"/>
    <mergeCell ref="T26:T27"/>
    <mergeCell ref="W26:W27"/>
    <mergeCell ref="W118:W119"/>
    <mergeCell ref="Y28:Y29"/>
    <mergeCell ref="AA28:AA29"/>
    <mergeCell ref="Y30:Y31"/>
    <mergeCell ref="AA30:AA31"/>
    <mergeCell ref="Y98:Y99"/>
    <mergeCell ref="AA98:AA99"/>
    <mergeCell ref="Y100:Y101"/>
    <mergeCell ref="AA100:AA101"/>
    <mergeCell ref="Y102:Y103"/>
    <mergeCell ref="AA102:AA103"/>
    <mergeCell ref="Y82:Y83"/>
    <mergeCell ref="W104:W105"/>
    <mergeCell ref="W106:W107"/>
    <mergeCell ref="Y92:Y93"/>
    <mergeCell ref="Y94:Y95"/>
    <mergeCell ref="Y96:Y97"/>
    <mergeCell ref="AA96:AA97"/>
    <mergeCell ref="W94:W95"/>
    <mergeCell ref="W96:W97"/>
    <mergeCell ref="W98:W99"/>
    <mergeCell ref="W100:W101"/>
    <mergeCell ref="W102:W103"/>
    <mergeCell ref="Y106:Y107"/>
    <mergeCell ref="Y136:Y137"/>
    <mergeCell ref="Y138:Y139"/>
    <mergeCell ref="Y140:Y141"/>
    <mergeCell ref="Y142:Y143"/>
    <mergeCell ref="Y144:Y145"/>
    <mergeCell ref="Y146:Y147"/>
    <mergeCell ref="Y104:Y105"/>
    <mergeCell ref="AA104:AA105"/>
    <mergeCell ref="Y120:Y121"/>
    <mergeCell ref="Y122:Y123"/>
    <mergeCell ref="Y124:Y125"/>
    <mergeCell ref="Y126:Y127"/>
    <mergeCell ref="Y128:Y129"/>
    <mergeCell ref="Y130:Y131"/>
    <mergeCell ref="AA106:AA107"/>
    <mergeCell ref="T146:T147"/>
    <mergeCell ref="T142:T143"/>
    <mergeCell ref="T144:T145"/>
    <mergeCell ref="W136:W137"/>
    <mergeCell ref="W138:W139"/>
    <mergeCell ref="W140:W141"/>
    <mergeCell ref="W142:W143"/>
    <mergeCell ref="W144:W145"/>
    <mergeCell ref="W146:W147"/>
    <mergeCell ref="R178:R179"/>
    <mergeCell ref="R162:R163"/>
    <mergeCell ref="R164:R165"/>
    <mergeCell ref="R166:R167"/>
    <mergeCell ref="R168:R169"/>
    <mergeCell ref="R170:R171"/>
    <mergeCell ref="R172:R173"/>
    <mergeCell ref="R174:R175"/>
    <mergeCell ref="S118:S119"/>
    <mergeCell ref="S146:S147"/>
    <mergeCell ref="R142:R143"/>
    <mergeCell ref="S142:S143"/>
    <mergeCell ref="R144:R145"/>
    <mergeCell ref="S144:S145"/>
    <mergeCell ref="R146:R147"/>
    <mergeCell ref="R148:R149"/>
    <mergeCell ref="R150:R151"/>
    <mergeCell ref="R152:R153"/>
    <mergeCell ref="R154:R155"/>
    <mergeCell ref="R156:R157"/>
    <mergeCell ref="R158:R159"/>
    <mergeCell ref="R160:R161"/>
    <mergeCell ref="R176:R177"/>
    <mergeCell ref="R134:R135"/>
    <mergeCell ref="T118:T119"/>
    <mergeCell ref="R114:R115"/>
    <mergeCell ref="S114:S115"/>
    <mergeCell ref="T114:T115"/>
    <mergeCell ref="R116:R117"/>
    <mergeCell ref="S116:S117"/>
    <mergeCell ref="T116:T117"/>
    <mergeCell ref="R118:R119"/>
    <mergeCell ref="S140:S141"/>
    <mergeCell ref="T140:T141"/>
    <mergeCell ref="R136:R137"/>
    <mergeCell ref="S136:S137"/>
    <mergeCell ref="T136:T137"/>
    <mergeCell ref="R138:R139"/>
    <mergeCell ref="S138:S139"/>
    <mergeCell ref="T138:T139"/>
    <mergeCell ref="R140:R141"/>
    <mergeCell ref="S134:S135"/>
    <mergeCell ref="T134:T135"/>
    <mergeCell ref="T130:T131"/>
    <mergeCell ref="R120:R121"/>
    <mergeCell ref="S120:S121"/>
    <mergeCell ref="C2:R2"/>
    <mergeCell ref="AD2:AD5"/>
    <mergeCell ref="A6:A7"/>
    <mergeCell ref="S6:S7"/>
    <mergeCell ref="T6:T7"/>
    <mergeCell ref="W6:W7"/>
    <mergeCell ref="W8:W9"/>
    <mergeCell ref="AA10:AA11"/>
    <mergeCell ref="AA12:AA13"/>
    <mergeCell ref="A8:A9"/>
    <mergeCell ref="A10:A11"/>
    <mergeCell ref="A12:A13"/>
    <mergeCell ref="S8:S9"/>
    <mergeCell ref="T8:T9"/>
    <mergeCell ref="S10:S11"/>
    <mergeCell ref="T10:T11"/>
    <mergeCell ref="W10:W11"/>
    <mergeCell ref="W12:W13"/>
    <mergeCell ref="R6:R7"/>
    <mergeCell ref="R8:R9"/>
    <mergeCell ref="R10:R11"/>
    <mergeCell ref="R12:R13"/>
    <mergeCell ref="S12:S13"/>
    <mergeCell ref="T12:T13"/>
    <mergeCell ref="Y14:Y15"/>
    <mergeCell ref="AA14:AA15"/>
    <mergeCell ref="Y16:Y17"/>
    <mergeCell ref="AA16:AA17"/>
    <mergeCell ref="A36:A37"/>
    <mergeCell ref="A38:A39"/>
    <mergeCell ref="A40:A41"/>
    <mergeCell ref="R40:R41"/>
    <mergeCell ref="S40:S41"/>
    <mergeCell ref="T40:T41"/>
    <mergeCell ref="W40:W41"/>
    <mergeCell ref="A14:A15"/>
    <mergeCell ref="A16:A17"/>
    <mergeCell ref="A18:A19"/>
    <mergeCell ref="A20:A21"/>
    <mergeCell ref="A22:A23"/>
    <mergeCell ref="A24:A25"/>
    <mergeCell ref="A26:A27"/>
    <mergeCell ref="A28:A29"/>
    <mergeCell ref="A30:A31"/>
    <mergeCell ref="A32:A33"/>
    <mergeCell ref="A34:A35"/>
    <mergeCell ref="Y18:Y19"/>
    <mergeCell ref="AA18:AA19"/>
    <mergeCell ref="A42:A43"/>
    <mergeCell ref="A44:A45"/>
    <mergeCell ref="R46:R47"/>
    <mergeCell ref="S46:S47"/>
    <mergeCell ref="T46:T47"/>
    <mergeCell ref="W46:W47"/>
    <mergeCell ref="Y46:Y47"/>
    <mergeCell ref="AA46:AA47"/>
    <mergeCell ref="W62:W63"/>
    <mergeCell ref="Y62:Y63"/>
    <mergeCell ref="A46:A47"/>
    <mergeCell ref="A48:A49"/>
    <mergeCell ref="A50:A51"/>
    <mergeCell ref="A52:A53"/>
    <mergeCell ref="A54:A55"/>
    <mergeCell ref="A56:A57"/>
    <mergeCell ref="A58:A59"/>
    <mergeCell ref="A60:A61"/>
    <mergeCell ref="A62:A63"/>
    <mergeCell ref="R58:R59"/>
    <mergeCell ref="S58:S59"/>
    <mergeCell ref="T58:T59"/>
    <mergeCell ref="W52:W53"/>
    <mergeCell ref="R60:R61"/>
    <mergeCell ref="Y70:Y71"/>
    <mergeCell ref="Y72:Y73"/>
    <mergeCell ref="Y74:Y75"/>
    <mergeCell ref="Y76:Y77"/>
    <mergeCell ref="Y78:Y79"/>
    <mergeCell ref="Y80:Y81"/>
    <mergeCell ref="W64:W65"/>
    <mergeCell ref="Y64:Y65"/>
    <mergeCell ref="W66:W67"/>
    <mergeCell ref="Y66:Y67"/>
    <mergeCell ref="Y68:Y69"/>
    <mergeCell ref="W68:W69"/>
    <mergeCell ref="W70:W71"/>
    <mergeCell ref="W72:W73"/>
    <mergeCell ref="W74:W75"/>
    <mergeCell ref="W86:W87"/>
    <mergeCell ref="W108:W109"/>
    <mergeCell ref="W110:W111"/>
    <mergeCell ref="W112:W113"/>
    <mergeCell ref="W114:W115"/>
    <mergeCell ref="Y118:Y119"/>
    <mergeCell ref="Y134:Y135"/>
    <mergeCell ref="Y84:Y85"/>
    <mergeCell ref="Y86:Y87"/>
    <mergeCell ref="Y108:Y109"/>
    <mergeCell ref="Y110:Y111"/>
    <mergeCell ref="Y112:Y113"/>
    <mergeCell ref="Y114:Y115"/>
    <mergeCell ref="Y116:Y117"/>
    <mergeCell ref="W134:W135"/>
    <mergeCell ref="W120:W121"/>
    <mergeCell ref="W122:W123"/>
    <mergeCell ref="W124:W125"/>
    <mergeCell ref="W126:W127"/>
    <mergeCell ref="W128:W129"/>
    <mergeCell ref="W130:W131"/>
    <mergeCell ref="Y132:Y133"/>
    <mergeCell ref="W132:W133"/>
    <mergeCell ref="W116:W117"/>
    <mergeCell ref="R74:R75"/>
    <mergeCell ref="S74:S75"/>
    <mergeCell ref="T74:T75"/>
    <mergeCell ref="R76:R77"/>
    <mergeCell ref="S76:S77"/>
    <mergeCell ref="T76:T77"/>
    <mergeCell ref="R78:R79"/>
    <mergeCell ref="W82:W83"/>
    <mergeCell ref="W84:W85"/>
    <mergeCell ref="W76:W77"/>
    <mergeCell ref="W78:W79"/>
    <mergeCell ref="W80:W81"/>
    <mergeCell ref="R180:R181"/>
    <mergeCell ref="AA84:AA85"/>
    <mergeCell ref="AA86:AA87"/>
    <mergeCell ref="AA108:AA109"/>
    <mergeCell ref="AA110:AA111"/>
    <mergeCell ref="AA112:AA113"/>
    <mergeCell ref="AA70:AA71"/>
    <mergeCell ref="AA72:AA73"/>
    <mergeCell ref="AA74:AA75"/>
    <mergeCell ref="AA76:AA77"/>
    <mergeCell ref="AA78:AA79"/>
    <mergeCell ref="AA80:AA81"/>
    <mergeCell ref="AA82:AA83"/>
    <mergeCell ref="S84:S85"/>
    <mergeCell ref="T84:T85"/>
    <mergeCell ref="R80:R81"/>
    <mergeCell ref="S80:S81"/>
    <mergeCell ref="T80:T81"/>
    <mergeCell ref="R82:R83"/>
    <mergeCell ref="S82:S83"/>
    <mergeCell ref="T82:T83"/>
    <mergeCell ref="R84:R85"/>
    <mergeCell ref="S78:S79"/>
    <mergeCell ref="T78:T79"/>
    <mergeCell ref="A116:A117"/>
    <mergeCell ref="A118:A11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72:A173"/>
    <mergeCell ref="A174:A175"/>
    <mergeCell ref="A176:A177"/>
    <mergeCell ref="A178:A179"/>
    <mergeCell ref="A180:A181"/>
    <mergeCell ref="A158:A159"/>
    <mergeCell ref="A160:A161"/>
    <mergeCell ref="A162:A163"/>
    <mergeCell ref="A164:A165"/>
    <mergeCell ref="A166:A167"/>
    <mergeCell ref="A168:A169"/>
    <mergeCell ref="A170:A171"/>
    <mergeCell ref="A64:A65"/>
    <mergeCell ref="A66:A67"/>
    <mergeCell ref="A68:A69"/>
    <mergeCell ref="A70:A71"/>
    <mergeCell ref="A72:A73"/>
    <mergeCell ref="A74:A75"/>
    <mergeCell ref="A76:A77"/>
    <mergeCell ref="A78:A79"/>
    <mergeCell ref="A80:A81"/>
    <mergeCell ref="A100:A101"/>
    <mergeCell ref="A102:A103"/>
    <mergeCell ref="A104:A105"/>
    <mergeCell ref="A106:A107"/>
    <mergeCell ref="A108:A109"/>
    <mergeCell ref="A110:A111"/>
    <mergeCell ref="A112:A113"/>
    <mergeCell ref="A114:A115"/>
    <mergeCell ref="A82:A83"/>
    <mergeCell ref="A84:A85"/>
    <mergeCell ref="A86:A87"/>
    <mergeCell ref="A88:A89"/>
    <mergeCell ref="A90:A91"/>
    <mergeCell ref="A92:A93"/>
    <mergeCell ref="A94:A95"/>
    <mergeCell ref="A96:A97"/>
    <mergeCell ref="A98:A99"/>
  </mergeCells>
  <conditionalFormatting sqref="E6:E997 I6:I997">
    <cfRule type="cellIs" dxfId="74" priority="7" operator="between">
      <formula>150</formula>
      <formula>159</formula>
    </cfRule>
    <cfRule type="cellIs" dxfId="73" priority="8" operator="greaterThanOrEqual">
      <formula>160</formula>
    </cfRule>
  </conditionalFormatting>
  <conditionalFormatting sqref="F6:F997 J6:J997">
    <cfRule type="cellIs" dxfId="72" priority="9" operator="between">
      <formula>80</formula>
      <formula>99</formula>
    </cfRule>
    <cfRule type="cellIs" dxfId="71" priority="10" operator="greaterThanOrEqual">
      <formula>100</formula>
    </cfRule>
  </conditionalFormatting>
  <conditionalFormatting sqref="G6:H997 K6:L997">
    <cfRule type="cellIs" dxfId="70" priority="11" operator="between">
      <formula>200</formula>
      <formula>249</formula>
    </cfRule>
  </conditionalFormatting>
  <conditionalFormatting sqref="L6:L114 G6:H997 K6:K997 L116:L997">
    <cfRule type="cellIs" dxfId="69" priority="12" operator="greaterThanOrEqual">
      <formula>250</formula>
    </cfRule>
  </conditionalFormatting>
  <conditionalFormatting sqref="L115:L147">
    <cfRule type="cellIs" dxfId="68" priority="83" operator="greaterThanOrEqual">
      <formula>250</formula>
    </cfRule>
  </conditionalFormatting>
  <conditionalFormatting sqref="M6:M114 M116:M997">
    <cfRule type="cellIs" dxfId="67" priority="4" operator="greaterThanOrEqual">
      <formula>300</formula>
    </cfRule>
  </conditionalFormatting>
  <conditionalFormatting sqref="M115:M147 L116:M147">
    <cfRule type="cellIs" dxfId="66" priority="79" operator="greaterThanOrEqual">
      <formula>300</formula>
    </cfRule>
  </conditionalFormatting>
  <conditionalFormatting sqref="M116:M147">
    <cfRule type="cellIs" dxfId="65" priority="76" operator="between">
      <formula>800</formula>
      <formula>899</formula>
    </cfRule>
    <cfRule type="cellIs" dxfId="64" priority="77" operator="between">
      <formula>900</formula>
      <formula>999</formula>
    </cfRule>
    <cfRule type="cellIs" dxfId="63" priority="78" operator="greaterThanOrEqual">
      <formula>1000</formula>
    </cfRule>
  </conditionalFormatting>
  <conditionalFormatting sqref="N6:O997">
    <cfRule type="cellIs" dxfId="62" priority="5" operator="between">
      <formula>150</formula>
      <formula>199</formula>
    </cfRule>
    <cfRule type="cellIs" dxfId="61" priority="6" operator="greaterThanOrEqual">
      <formula>200</formula>
    </cfRule>
  </conditionalFormatting>
  <conditionalFormatting sqref="P1:P997">
    <cfRule type="cellIs" dxfId="60" priority="219" operator="greaterThanOrEqual">
      <formula>500</formula>
    </cfRule>
  </conditionalFormatting>
  <conditionalFormatting sqref="P5:P147">
    <cfRule type="cellIs" dxfId="59" priority="218" operator="between">
      <formula>400</formula>
      <formula>499</formula>
    </cfRule>
  </conditionalFormatting>
  <conditionalFormatting sqref="Q4:R126 T6 S6:S181 T8 T10 T12 T14 T16 T18 T20 T22 T24 T26 T28 T30 T32 T34 T36 T38 T40 T42 T44 T46 T48 T50 T52 T54 T56 T58 T60 T62 T64 T66 T68 T70 T72 T74 T76 T78 T80 T82 T84 T86 T88 T90 T92 T94 T96 T98 T100 T102 T104 T106 T108 T110 T112 T114 T116 T118 T120 T122 T124 T126 Q127 T128 Q129 T130 Q131:Q997 T132 R132:R997 T134 T136 T138 T140 T142 T144 T146 T148 T150 T152 T154 T156 T158 T160 T162 T164 T166 T168 T170 T172 T174">
    <cfRule type="cellIs" dxfId="58" priority="1" operator="between">
      <formula>800</formula>
      <formula>899</formula>
    </cfRule>
    <cfRule type="cellIs" dxfId="57" priority="2" operator="between">
      <formula>900</formula>
      <formula>999</formula>
    </cfRule>
  </conditionalFormatting>
  <conditionalFormatting sqref="Q4:R126 T6 S6:S181 T8 T10 T12 T14 T16 T18 T20 T22 T24 T26 T28 T30 T32 T34 T36 T38 T40 T42 T44 T46 T48 T50 T52 T54 T56 T58 T60 T62 T64 T66 T68 T70 T72 T74 T76 T78 T80 T82 T84 T86 T88 T90 T92 T94 T96 T98 T100 T102 T104 T106 T108 T110 T112 T114 T116 T118 T120 T122 T124 T126 Q127 T128 Q129:Q997 T130 T132 R132:R997 T134 T136 T138 T140 T142 T144 T146 T148 T150 T152 T154 T156 T158 T160 T162 T164 T166 T168 T170 T172 T174">
    <cfRule type="cellIs" dxfId="56" priority="3" operator="greaterThanOrEqual">
      <formula>1000</formula>
    </cfRule>
  </conditionalFormatting>
  <conditionalFormatting sqref="Q128:R128">
    <cfRule type="cellIs" dxfId="55" priority="44" operator="between">
      <formula>800</formula>
      <formula>899</formula>
    </cfRule>
    <cfRule type="cellIs" dxfId="54" priority="45" operator="between">
      <formula>900</formula>
      <formula>999</formula>
    </cfRule>
    <cfRule type="cellIs" dxfId="53" priority="46" operator="greaterThanOrEqual">
      <formula>1000</formula>
    </cfRule>
  </conditionalFormatting>
  <conditionalFormatting sqref="Q130:R130">
    <cfRule type="cellIs" dxfId="52" priority="47" operator="between">
      <formula>800</formula>
      <formula>899</formula>
    </cfRule>
    <cfRule type="cellIs" dxfId="51" priority="48" operator="between">
      <formula>900</formula>
      <formula>999</formula>
    </cfRule>
  </conditionalFormatting>
  <conditionalFormatting sqref="R130">
    <cfRule type="cellIs" dxfId="50" priority="49" operator="greaterThanOrEqual">
      <formula>1000</formula>
    </cfRule>
  </conditionalFormatting>
  <conditionalFormatting sqref="S116:S147">
    <cfRule type="cellIs" dxfId="49" priority="165" operator="between">
      <formula>800</formula>
      <formula>899</formula>
    </cfRule>
    <cfRule type="cellIs" dxfId="48" priority="166" operator="between">
      <formula>900</formula>
      <formula>999</formula>
    </cfRule>
  </conditionalFormatting>
  <conditionalFormatting sqref="Z117:AA119">
    <cfRule type="cellIs" dxfId="47" priority="163" operator="equal">
      <formula>"M"</formula>
    </cfRule>
  </conditionalFormatting>
  <conditionalFormatting sqref="Z120:AA121">
    <cfRule type="cellIs" dxfId="46" priority="50" operator="equal">
      <formula>"V"</formula>
    </cfRule>
  </conditionalFormatting>
  <conditionalFormatting sqref="Z122:AA123">
    <cfRule type="cellIs" dxfId="45" priority="213" operator="between">
      <formula>800</formula>
      <formula>899</formula>
    </cfRule>
    <cfRule type="cellIs" dxfId="44" priority="214" operator="between">
      <formula>900</formula>
      <formula>999</formula>
    </cfRule>
    <cfRule type="cellIs" dxfId="43" priority="215" operator="greaterThanOrEqual">
      <formula>1000</formula>
    </cfRule>
  </conditionalFormatting>
  <conditionalFormatting sqref="Z124:AA147">
    <cfRule type="cellIs" dxfId="42" priority="52" operator="equal">
      <formula>"V"</formula>
    </cfRule>
  </conditionalFormatting>
  <conditionalFormatting sqref="AA1:AA997">
    <cfRule type="cellIs" dxfId="41" priority="216" operator="equal">
      <formula>"Ž"</formula>
    </cfRule>
    <cfRule type="cellIs" dxfId="40" priority="217" operator="equal">
      <formula>"S"</formula>
    </cfRule>
  </conditionalFormatting>
  <conditionalFormatting sqref="AA3:AA116 Z3:Z997 AA118 AA148:AA997">
    <cfRule type="cellIs" dxfId="39" priority="13" operator="equal">
      <formula>"M"</formula>
    </cfRule>
  </conditionalFormatting>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81"/>
  <sheetViews>
    <sheetView workbookViewId="0">
      <pane ySplit="1" topLeftCell="A2" activePane="bottomLeft" state="frozen"/>
      <selection activeCell="B3" sqref="B3"/>
      <selection pane="bottomLeft" activeCell="B3" sqref="B3"/>
    </sheetView>
  </sheetViews>
  <sheetFormatPr defaultColWidth="12.5703125" defaultRowHeight="15" customHeight="1" x14ac:dyDescent="0.2"/>
  <cols>
    <col min="1" max="1" width="6.5703125" customWidth="1"/>
    <col min="2" max="2" width="16.85546875" customWidth="1"/>
    <col min="3" max="3" width="14.85546875" customWidth="1"/>
    <col min="4" max="11" width="6.42578125" hidden="1" customWidth="1"/>
    <col min="12" max="15" width="6.42578125" customWidth="1"/>
    <col min="16" max="16" width="7.5703125" hidden="1" customWidth="1"/>
    <col min="17" max="17" width="7.5703125" customWidth="1"/>
    <col min="18" max="19" width="6.42578125" customWidth="1"/>
    <col min="20" max="21" width="6.42578125" hidden="1" customWidth="1"/>
    <col min="22" max="22" width="6.42578125" customWidth="1"/>
    <col min="23" max="24" width="6.42578125" hidden="1" customWidth="1"/>
    <col min="25" max="26" width="12.5703125" hidden="1"/>
  </cols>
  <sheetData>
    <row r="1" spans="1:27" ht="50.25" customHeight="1" x14ac:dyDescent="0.2">
      <c r="A1" s="101" t="s">
        <v>150</v>
      </c>
      <c r="B1" s="102" t="str">
        <f ca="1">IFERROR(__xludf.DUMMYFUNCTION("QUERY('2025'!C1:AB1000, ""SELECT * WHERE AA = 'M' AND Y = 'R' ORDER BY Q DESC, U DESC"", 1)
"),"Jméno")</f>
        <v>Jméno</v>
      </c>
      <c r="C1" s="103" t="str">
        <f ca="1">IFERROR(__xludf.DUMMYFUNCTION("""COMPUTED_VALUE"""),"oddíl")</f>
        <v>oddíl</v>
      </c>
      <c r="D1" s="104" t="str">
        <f ca="1">IFERROR(__xludf.DUMMYFUNCTION("""COMPUTED_VALUE"""),"")</f>
        <v/>
      </c>
      <c r="E1" s="104" t="str">
        <f ca="1">IFERROR(__xludf.DUMMYFUNCTION("""COMPUTED_VALUE"""),"")</f>
        <v/>
      </c>
      <c r="F1" s="104" t="str">
        <f ca="1">IFERROR(__xludf.DUMMYFUNCTION("""COMPUTED_VALUE"""),"")</f>
        <v/>
      </c>
      <c r="G1" s="104" t="str">
        <f ca="1">IFERROR(__xludf.DUMMYFUNCTION("""COMPUTED_VALUE"""),"")</f>
        <v/>
      </c>
      <c r="H1" s="104" t="str">
        <f ca="1">IFERROR(__xludf.DUMMYFUNCTION("""COMPUTED_VALUE"""),"")</f>
        <v/>
      </c>
      <c r="I1" s="104" t="str">
        <f ca="1">IFERROR(__xludf.DUMMYFUNCTION("""COMPUTED_VALUE"""),"")</f>
        <v/>
      </c>
      <c r="J1" s="104" t="str">
        <f ca="1">IFERROR(__xludf.DUMMYFUNCTION("""COMPUTED_VALUE"""),"")</f>
        <v/>
      </c>
      <c r="K1" s="104" t="str">
        <f ca="1">IFERROR(__xludf.DUMMYFUNCTION("""COMPUTED_VALUE"""),"")</f>
        <v/>
      </c>
      <c r="L1" s="105" t="str">
        <f ca="1">IFERROR(__xludf.DUMMYFUNCTION("""COMPUTED_VALUE"""),"Plné")</f>
        <v>Plné</v>
      </c>
      <c r="M1" s="105" t="str">
        <f ca="1">IFERROR(__xludf.DUMMYFUNCTION("""COMPUTED_VALUE"""),"Dorážka")</f>
        <v>Dorážka</v>
      </c>
      <c r="N1" s="105" t="str">
        <f ca="1">IFERROR(__xludf.DUMMYFUNCTION("""COMPUTED_VALUE"""),"Chyby")</f>
        <v>Chyby</v>
      </c>
      <c r="O1" s="106" t="str">
        <f ca="1">IFERROR(__xludf.DUMMYFUNCTION("""COMPUTED_VALUE"""),"Celkem")</f>
        <v>Celkem</v>
      </c>
      <c r="P1" s="105" t="str">
        <f ca="1">IFERROR(__xludf.DUMMYFUNCTION("""COMPUTED_VALUE"""),"Celkem dvojice")</f>
        <v>Celkem dvojice</v>
      </c>
      <c r="Q1" s="107" t="str">
        <f ca="1">IFERROR(__xludf.DUMMYFUNCTION("""COMPUTED_VALUE"""),"Celkem dvojice")</f>
        <v>Celkem dvojice</v>
      </c>
      <c r="R1" s="108" t="str">
        <f ca="1">IFERROR(__xludf.DUMMYFUNCTION("""COMPUTED_VALUE"""),"Dorážka dvojice")</f>
        <v>Dorážka dvojice</v>
      </c>
      <c r="S1" s="108" t="str">
        <f ca="1">IFERROR(__xludf.DUMMYFUNCTION("""COMPUTED_VALUE"""),"Chyby dvojice")</f>
        <v>Chyby dvojice</v>
      </c>
      <c r="T1" s="109" t="str">
        <f ca="1">IFERROR(__xludf.DUMMYFUNCTION("""COMPUTED_VALUE"""),"")</f>
        <v/>
      </c>
      <c r="U1" s="109" t="str">
        <f ca="1">IFERROR(__xludf.DUMMYFUNCTION("""COMPUTED_VALUE"""),"")</f>
        <v/>
      </c>
      <c r="V1" s="110" t="str">
        <f ca="1">IFERROR(__xludf.DUMMYFUNCTION("""COMPUTED_VALUE"""),"Turné Vysočina")</f>
        <v>Turné Vysočina</v>
      </c>
      <c r="W1" s="111" t="str">
        <f ca="1">IFERROR(__xludf.DUMMYFUNCTION("""COMPUTED_VALUE"""),"")</f>
        <v/>
      </c>
      <c r="X1" s="111" t="str">
        <f ca="1">IFERROR(__xludf.DUMMYFUNCTION("""COMPUTED_VALUE"""),"")</f>
        <v/>
      </c>
      <c r="Y1" s="112" t="str">
        <f ca="1">IFERROR(__xludf.DUMMYFUNCTION("""COMPUTED_VALUE"""),"")</f>
        <v/>
      </c>
      <c r="Z1" s="112" t="str">
        <f ca="1">IFERROR(__xludf.DUMMYFUNCTION("""COMPUTED_VALUE"""),"")</f>
        <v/>
      </c>
      <c r="AA1" s="8" t="str">
        <f ca="1">IFERROR(__xludf.DUMMYFUNCTION("""COMPUTED_VALUE"""),"")</f>
        <v/>
      </c>
    </row>
    <row r="2" spans="1:27" ht="12.75" x14ac:dyDescent="0.2">
      <c r="A2" s="176">
        <v>1</v>
      </c>
      <c r="B2" s="113" t="str">
        <f ca="1">IFERROR(__xludf.DUMMYFUNCTION("""COMPUTED_VALUE"""),"Švub Václav")</f>
        <v>Švub Václav</v>
      </c>
      <c r="C2" s="114" t="str">
        <f ca="1">IFERROR(__xludf.DUMMYFUNCTION("""COMPUTED_VALUE"""),"KK Zábřeh")</f>
        <v>KK Zábřeh</v>
      </c>
      <c r="D2" s="115">
        <f ca="1">IFERROR(__xludf.DUMMYFUNCTION("""COMPUTED_VALUE"""),145)</f>
        <v>145</v>
      </c>
      <c r="E2" s="116">
        <f ca="1">IFERROR(__xludf.DUMMYFUNCTION("""COMPUTED_VALUE"""),89)</f>
        <v>89</v>
      </c>
      <c r="F2" s="116">
        <f ca="1">IFERROR(__xludf.DUMMYFUNCTION("""COMPUTED_VALUE"""),2)</f>
        <v>2</v>
      </c>
      <c r="G2" s="117">
        <f ca="1">IFERROR(__xludf.DUMMYFUNCTION("""COMPUTED_VALUE"""),234)</f>
        <v>234</v>
      </c>
      <c r="H2" s="115">
        <f ca="1">IFERROR(__xludf.DUMMYFUNCTION("""COMPUTED_VALUE"""),153)</f>
        <v>153</v>
      </c>
      <c r="I2" s="116">
        <f ca="1">IFERROR(__xludf.DUMMYFUNCTION("""COMPUTED_VALUE"""),86)</f>
        <v>86</v>
      </c>
      <c r="J2" s="116">
        <f ca="1">IFERROR(__xludf.DUMMYFUNCTION("""COMPUTED_VALUE"""),2)</f>
        <v>2</v>
      </c>
      <c r="K2" s="117">
        <f ca="1">IFERROR(__xludf.DUMMYFUNCTION("""COMPUTED_VALUE"""),239)</f>
        <v>239</v>
      </c>
      <c r="L2" s="116">
        <f ca="1">IFERROR(__xludf.DUMMYFUNCTION("""COMPUTED_VALUE"""),298)</f>
        <v>298</v>
      </c>
      <c r="M2" s="116">
        <f ca="1">IFERROR(__xludf.DUMMYFUNCTION("""COMPUTED_VALUE"""),175)</f>
        <v>175</v>
      </c>
      <c r="N2" s="116">
        <f ca="1">IFERROR(__xludf.DUMMYFUNCTION("""COMPUTED_VALUE"""),4)</f>
        <v>4</v>
      </c>
      <c r="O2" s="117">
        <f ca="1">IFERROR(__xludf.DUMMYFUNCTION("""COMPUTED_VALUE"""),473)</f>
        <v>473</v>
      </c>
      <c r="P2" s="116">
        <f ca="1">IFERROR(__xludf.DUMMYFUNCTION("""COMPUTED_VALUE"""),940)</f>
        <v>940</v>
      </c>
      <c r="Q2" s="177">
        <f ca="1">IFERROR(__xludf.DUMMYFUNCTION("""COMPUTED_VALUE"""),940)</f>
        <v>940</v>
      </c>
      <c r="R2" s="178">
        <f ca="1">IFERROR(__xludf.DUMMYFUNCTION("""COMPUTED_VALUE"""),325)</f>
        <v>325</v>
      </c>
      <c r="S2" s="178">
        <f ca="1">IFERROR(__xludf.DUMMYFUNCTION("""COMPUTED_VALUE"""),5)</f>
        <v>5</v>
      </c>
      <c r="T2" s="118">
        <f ca="1">IFERROR(__xludf.DUMMYFUNCTION("""COMPUTED_VALUE"""),325)</f>
        <v>325</v>
      </c>
      <c r="U2" s="118">
        <f ca="1">IFERROR(__xludf.DUMMYFUNCTION("""COMPUTED_VALUE"""),5)</f>
        <v>5</v>
      </c>
      <c r="V2" s="179" t="str">
        <f ca="1">IFERROR(__xludf.DUMMYFUNCTION("""COMPUTED_VALUE"""),"Š")</f>
        <v>Š</v>
      </c>
      <c r="W2" s="119" t="str">
        <f ca="1">IFERROR(__xludf.DUMMYFUNCTION("""COMPUTED_VALUE"""),"Š")</f>
        <v>Š</v>
      </c>
      <c r="X2" s="119" t="str">
        <f ca="1">IFERROR(__xludf.DUMMYFUNCTION("""COMPUTED_VALUE"""),"R")</f>
        <v>R</v>
      </c>
      <c r="Y2" s="119" t="str">
        <f ca="1">IFERROR(__xludf.DUMMYFUNCTION("""COMPUTED_VALUE"""),"R")</f>
        <v>R</v>
      </c>
      <c r="Z2" s="119" t="str">
        <f ca="1">IFERROR(__xludf.DUMMYFUNCTION("""COMPUTED_VALUE"""),"M")</f>
        <v>M</v>
      </c>
      <c r="AA2" s="119" t="str">
        <f ca="1">IFERROR(__xludf.DUMMYFUNCTION("""COMPUTED_VALUE"""),"M")</f>
        <v>M</v>
      </c>
    </row>
    <row r="3" spans="1:27" ht="12.75" x14ac:dyDescent="0.2">
      <c r="A3" s="165"/>
      <c r="B3" s="120" t="str">
        <f ca="1">IFERROR(__xludf.DUMMYFUNCTION("""COMPUTED_VALUE"""),"Votava Petr")</f>
        <v>Votava Petr</v>
      </c>
      <c r="C3" s="121" t="str">
        <f ca="1">IFERROR(__xludf.DUMMYFUNCTION("""COMPUTED_VALUE"""),"TJ Start Jihlava")</f>
        <v>TJ Start Jihlava</v>
      </c>
      <c r="D3" s="122">
        <f ca="1">IFERROR(__xludf.DUMMYFUNCTION("""COMPUTED_VALUE"""),150)</f>
        <v>150</v>
      </c>
      <c r="E3" s="123">
        <f ca="1">IFERROR(__xludf.DUMMYFUNCTION("""COMPUTED_VALUE"""),69)</f>
        <v>69</v>
      </c>
      <c r="F3" s="123">
        <f ca="1">IFERROR(__xludf.DUMMYFUNCTION("""COMPUTED_VALUE"""),1)</f>
        <v>1</v>
      </c>
      <c r="G3" s="124">
        <f ca="1">IFERROR(__xludf.DUMMYFUNCTION("""COMPUTED_VALUE"""),219)</f>
        <v>219</v>
      </c>
      <c r="H3" s="122">
        <f ca="1">IFERROR(__xludf.DUMMYFUNCTION("""COMPUTED_VALUE"""),150)</f>
        <v>150</v>
      </c>
      <c r="I3" s="123">
        <f ca="1">IFERROR(__xludf.DUMMYFUNCTION("""COMPUTED_VALUE"""),78)</f>
        <v>78</v>
      </c>
      <c r="J3" s="123">
        <f ca="1">IFERROR(__xludf.DUMMYFUNCTION("""COMPUTED_VALUE"""),1)</f>
        <v>1</v>
      </c>
      <c r="K3" s="124">
        <f ca="1">IFERROR(__xludf.DUMMYFUNCTION("""COMPUTED_VALUE"""),228)</f>
        <v>228</v>
      </c>
      <c r="L3" s="123">
        <f ca="1">IFERROR(__xludf.DUMMYFUNCTION("""COMPUTED_VALUE"""),300)</f>
        <v>300</v>
      </c>
      <c r="M3" s="123">
        <f ca="1">IFERROR(__xludf.DUMMYFUNCTION("""COMPUTED_VALUE"""),147)</f>
        <v>147</v>
      </c>
      <c r="N3" s="123">
        <f ca="1">IFERROR(__xludf.DUMMYFUNCTION("""COMPUTED_VALUE"""),2)</f>
        <v>2</v>
      </c>
      <c r="O3" s="124">
        <f ca="1">IFERROR(__xludf.DUMMYFUNCTION("""COMPUTED_VALUE"""),447)</f>
        <v>447</v>
      </c>
      <c r="P3" s="123">
        <f ca="1">IFERROR(__xludf.DUMMYFUNCTION("""COMPUTED_VALUE"""),895)</f>
        <v>895</v>
      </c>
      <c r="Q3" s="165"/>
      <c r="R3" s="159"/>
      <c r="S3" s="159"/>
      <c r="T3" s="125">
        <f ca="1">IFERROR(__xludf.DUMMYFUNCTION("""COMPUTED_VALUE"""),290)</f>
        <v>290</v>
      </c>
      <c r="U3" s="125">
        <f ca="1">IFERROR(__xludf.DUMMYFUNCTION("""COMPUTED_VALUE"""),4)</f>
        <v>4</v>
      </c>
      <c r="V3" s="159"/>
      <c r="W3" s="126" t="str">
        <f ca="1">IFERROR(__xludf.DUMMYFUNCTION("""COMPUTED_VALUE"""),"TV")</f>
        <v>TV</v>
      </c>
      <c r="X3" s="126" t="str">
        <f ca="1">IFERROR(__xludf.DUMMYFUNCTION("""COMPUTED_VALUE"""),"R")</f>
        <v>R</v>
      </c>
      <c r="Y3" s="126" t="str">
        <f ca="1">IFERROR(__xludf.DUMMYFUNCTION("""COMPUTED_VALUE"""),"R")</f>
        <v>R</v>
      </c>
      <c r="Z3" s="126" t="str">
        <f ca="1">IFERROR(__xludf.DUMMYFUNCTION("""COMPUTED_VALUE"""),"M")</f>
        <v>M</v>
      </c>
      <c r="AA3" s="119" t="str">
        <f ca="1">IFERROR(__xludf.DUMMYFUNCTION("""COMPUTED_VALUE"""),"M")</f>
        <v>M</v>
      </c>
    </row>
    <row r="4" spans="1:27" ht="12.75" x14ac:dyDescent="0.2">
      <c r="A4" s="172">
        <v>2</v>
      </c>
      <c r="B4" s="127" t="str">
        <f ca="1">IFERROR(__xludf.DUMMYFUNCTION("""COMPUTED_VALUE"""),"Pevný Robert")</f>
        <v>Pevný Robert</v>
      </c>
      <c r="C4" s="128" t="str">
        <f ca="1">IFERROR(__xludf.DUMMYFUNCTION("""COMPUTED_VALUE"""),"TJ Třebíč")</f>
        <v>TJ Třebíč</v>
      </c>
      <c r="D4" s="129">
        <f ca="1">IFERROR(__xludf.DUMMYFUNCTION("""COMPUTED_VALUE"""),151)</f>
        <v>151</v>
      </c>
      <c r="E4" s="130">
        <f ca="1">IFERROR(__xludf.DUMMYFUNCTION("""COMPUTED_VALUE"""),71)</f>
        <v>71</v>
      </c>
      <c r="F4" s="130">
        <f ca="1">IFERROR(__xludf.DUMMYFUNCTION("""COMPUTED_VALUE"""),1)</f>
        <v>1</v>
      </c>
      <c r="G4" s="131">
        <f ca="1">IFERROR(__xludf.DUMMYFUNCTION("""COMPUTED_VALUE"""),222)</f>
        <v>222</v>
      </c>
      <c r="H4" s="129">
        <f ca="1">IFERROR(__xludf.DUMMYFUNCTION("""COMPUTED_VALUE"""),161)</f>
        <v>161</v>
      </c>
      <c r="I4" s="130">
        <f ca="1">IFERROR(__xludf.DUMMYFUNCTION("""COMPUTED_VALUE"""),81)</f>
        <v>81</v>
      </c>
      <c r="J4" s="130">
        <f ca="1">IFERROR(__xludf.DUMMYFUNCTION("""COMPUTED_VALUE"""),0)</f>
        <v>0</v>
      </c>
      <c r="K4" s="131">
        <f ca="1">IFERROR(__xludf.DUMMYFUNCTION("""COMPUTED_VALUE"""),242)</f>
        <v>242</v>
      </c>
      <c r="L4" s="130">
        <f ca="1">IFERROR(__xludf.DUMMYFUNCTION("""COMPUTED_VALUE"""),312)</f>
        <v>312</v>
      </c>
      <c r="M4" s="130">
        <f ca="1">IFERROR(__xludf.DUMMYFUNCTION("""COMPUTED_VALUE"""),152)</f>
        <v>152</v>
      </c>
      <c r="N4" s="130">
        <f ca="1">IFERROR(__xludf.DUMMYFUNCTION("""COMPUTED_VALUE"""),1)</f>
        <v>1</v>
      </c>
      <c r="O4" s="131">
        <f ca="1">IFERROR(__xludf.DUMMYFUNCTION("""COMPUTED_VALUE"""),464)</f>
        <v>464</v>
      </c>
      <c r="P4" s="132">
        <f ca="1">IFERROR(__xludf.DUMMYFUNCTION("""COMPUTED_VALUE"""),894)</f>
        <v>894</v>
      </c>
      <c r="Q4" s="173">
        <f ca="1">IFERROR(__xludf.DUMMYFUNCTION("""COMPUTED_VALUE"""),894)</f>
        <v>894</v>
      </c>
      <c r="R4" s="174">
        <f ca="1">IFERROR(__xludf.DUMMYFUNCTION("""COMPUTED_VALUE"""),295)</f>
        <v>295</v>
      </c>
      <c r="S4" s="174">
        <f ca="1">IFERROR(__xludf.DUMMYFUNCTION("""COMPUTED_VALUE"""),3)</f>
        <v>3</v>
      </c>
      <c r="T4" s="133">
        <f ca="1">IFERROR(__xludf.DUMMYFUNCTION("""COMPUTED_VALUE"""),295)</f>
        <v>295</v>
      </c>
      <c r="U4" s="133">
        <f ca="1">IFERROR(__xludf.DUMMYFUNCTION("""COMPUTED_VALUE"""),3)</f>
        <v>3</v>
      </c>
      <c r="V4" s="175" t="str">
        <f ca="1">IFERROR(__xludf.DUMMYFUNCTION("""COMPUTED_VALUE"""),"Š")</f>
        <v>Š</v>
      </c>
      <c r="W4" s="8" t="str">
        <f ca="1">IFERROR(__xludf.DUMMYFUNCTION("""COMPUTED_VALUE"""),"Š")</f>
        <v>Š</v>
      </c>
      <c r="X4" s="8" t="str">
        <f ca="1">IFERROR(__xludf.DUMMYFUNCTION("""COMPUTED_VALUE"""),"R")</f>
        <v>R</v>
      </c>
      <c r="Y4" s="8" t="str">
        <f ca="1">IFERROR(__xludf.DUMMYFUNCTION("""COMPUTED_VALUE"""),"R")</f>
        <v>R</v>
      </c>
      <c r="Z4" s="8" t="str">
        <f ca="1">IFERROR(__xludf.DUMMYFUNCTION("""COMPUTED_VALUE"""),"M")</f>
        <v>M</v>
      </c>
      <c r="AA4" s="8" t="str">
        <f ca="1">IFERROR(__xludf.DUMMYFUNCTION("""COMPUTED_VALUE"""),"M")</f>
        <v>M</v>
      </c>
    </row>
    <row r="5" spans="1:27" ht="12.75" x14ac:dyDescent="0.2">
      <c r="A5" s="165"/>
      <c r="B5" s="134" t="str">
        <f ca="1">IFERROR(__xludf.DUMMYFUNCTION("""COMPUTED_VALUE"""),"Sáblík Pavel")</f>
        <v>Sáblík Pavel</v>
      </c>
      <c r="C5" s="135" t="str">
        <f ca="1">IFERROR(__xludf.DUMMYFUNCTION("""COMPUTED_VALUE"""),"Nové Město na Moravě")</f>
        <v>Nové Město na Moravě</v>
      </c>
      <c r="D5" s="136">
        <f ca="1">IFERROR(__xludf.DUMMYFUNCTION("""COMPUTED_VALUE"""),152)</f>
        <v>152</v>
      </c>
      <c r="E5" s="137">
        <f ca="1">IFERROR(__xludf.DUMMYFUNCTION("""COMPUTED_VALUE"""),81)</f>
        <v>81</v>
      </c>
      <c r="F5" s="137">
        <f ca="1">IFERROR(__xludf.DUMMYFUNCTION("""COMPUTED_VALUE"""),1)</f>
        <v>1</v>
      </c>
      <c r="G5" s="138">
        <f ca="1">IFERROR(__xludf.DUMMYFUNCTION("""COMPUTED_VALUE"""),233)</f>
        <v>233</v>
      </c>
      <c r="H5" s="136">
        <f ca="1">IFERROR(__xludf.DUMMYFUNCTION("""COMPUTED_VALUE"""),154)</f>
        <v>154</v>
      </c>
      <c r="I5" s="137">
        <f ca="1">IFERROR(__xludf.DUMMYFUNCTION("""COMPUTED_VALUE"""),59)</f>
        <v>59</v>
      </c>
      <c r="J5" s="137">
        <f ca="1">IFERROR(__xludf.DUMMYFUNCTION("""COMPUTED_VALUE"""),4)</f>
        <v>4</v>
      </c>
      <c r="K5" s="138">
        <f ca="1">IFERROR(__xludf.DUMMYFUNCTION("""COMPUTED_VALUE"""),213)</f>
        <v>213</v>
      </c>
      <c r="L5" s="137">
        <f ca="1">IFERROR(__xludf.DUMMYFUNCTION("""COMPUTED_VALUE"""),306)</f>
        <v>306</v>
      </c>
      <c r="M5" s="137">
        <f ca="1">IFERROR(__xludf.DUMMYFUNCTION("""COMPUTED_VALUE"""),140)</f>
        <v>140</v>
      </c>
      <c r="N5" s="137">
        <f ca="1">IFERROR(__xludf.DUMMYFUNCTION("""COMPUTED_VALUE"""),5)</f>
        <v>5</v>
      </c>
      <c r="O5" s="138">
        <f ca="1">IFERROR(__xludf.DUMMYFUNCTION("""COMPUTED_VALUE"""),446)</f>
        <v>446</v>
      </c>
      <c r="P5" s="139">
        <f ca="1">IFERROR(__xludf.DUMMYFUNCTION("""COMPUTED_VALUE"""),883)</f>
        <v>883</v>
      </c>
      <c r="Q5" s="165"/>
      <c r="R5" s="159"/>
      <c r="S5" s="159"/>
      <c r="T5" s="140">
        <f ca="1">IFERROR(__xludf.DUMMYFUNCTION("""COMPUTED_VALUE"""),278)</f>
        <v>278</v>
      </c>
      <c r="U5" s="140">
        <f ca="1">IFERROR(__xludf.DUMMYFUNCTION("""COMPUTED_VALUE"""),9)</f>
        <v>9</v>
      </c>
      <c r="V5" s="159"/>
      <c r="W5" s="141" t="str">
        <f ca="1">IFERROR(__xludf.DUMMYFUNCTION("""COMPUTED_VALUE"""),"TV")</f>
        <v>TV</v>
      </c>
      <c r="X5" s="141" t="str">
        <f ca="1">IFERROR(__xludf.DUMMYFUNCTION("""COMPUTED_VALUE"""),"R")</f>
        <v>R</v>
      </c>
      <c r="Y5" s="141" t="str">
        <f ca="1">IFERROR(__xludf.DUMMYFUNCTION("""COMPUTED_VALUE"""),"R")</f>
        <v>R</v>
      </c>
      <c r="Z5" s="141" t="str">
        <f ca="1">IFERROR(__xludf.DUMMYFUNCTION("""COMPUTED_VALUE"""),"M")</f>
        <v>M</v>
      </c>
      <c r="AA5" s="8" t="str">
        <f ca="1">IFERROR(__xludf.DUMMYFUNCTION("""COMPUTED_VALUE"""),"M")</f>
        <v>M</v>
      </c>
    </row>
    <row r="6" spans="1:27" ht="12.75" x14ac:dyDescent="0.2">
      <c r="A6" s="172">
        <v>3</v>
      </c>
      <c r="B6" s="127" t="str">
        <f ca="1">IFERROR(__xludf.DUMMYFUNCTION("""COMPUTED_VALUE"""),"Rozsypal David")</f>
        <v>Rozsypal David</v>
      </c>
      <c r="C6" s="128" t="str">
        <f ca="1">IFERROR(__xludf.DUMMYFUNCTION("""COMPUTED_VALUE"""),"TJ Prostějov")</f>
        <v>TJ Prostějov</v>
      </c>
      <c r="D6" s="129">
        <f ca="1">IFERROR(__xludf.DUMMYFUNCTION("""COMPUTED_VALUE"""),143)</f>
        <v>143</v>
      </c>
      <c r="E6" s="130">
        <f ca="1">IFERROR(__xludf.DUMMYFUNCTION("""COMPUTED_VALUE"""),72)</f>
        <v>72</v>
      </c>
      <c r="F6" s="130">
        <f ca="1">IFERROR(__xludf.DUMMYFUNCTION("""COMPUTED_VALUE"""),5)</f>
        <v>5</v>
      </c>
      <c r="G6" s="131">
        <f ca="1">IFERROR(__xludf.DUMMYFUNCTION("""COMPUTED_VALUE"""),215)</f>
        <v>215</v>
      </c>
      <c r="H6" s="129">
        <f ca="1">IFERROR(__xludf.DUMMYFUNCTION("""COMPUTED_VALUE"""),140)</f>
        <v>140</v>
      </c>
      <c r="I6" s="130">
        <f ca="1">IFERROR(__xludf.DUMMYFUNCTION("""COMPUTED_VALUE"""),47)</f>
        <v>47</v>
      </c>
      <c r="J6" s="130">
        <f ca="1">IFERROR(__xludf.DUMMYFUNCTION("""COMPUTED_VALUE"""),5)</f>
        <v>5</v>
      </c>
      <c r="K6" s="131">
        <f ca="1">IFERROR(__xludf.DUMMYFUNCTION("""COMPUTED_VALUE"""),187)</f>
        <v>187</v>
      </c>
      <c r="L6" s="130">
        <f ca="1">IFERROR(__xludf.DUMMYFUNCTION("""COMPUTED_VALUE"""),283)</f>
        <v>283</v>
      </c>
      <c r="M6" s="130">
        <f ca="1">IFERROR(__xludf.DUMMYFUNCTION("""COMPUTED_VALUE"""),119)</f>
        <v>119</v>
      </c>
      <c r="N6" s="130">
        <f ca="1">IFERROR(__xludf.DUMMYFUNCTION("""COMPUTED_VALUE"""),10)</f>
        <v>10</v>
      </c>
      <c r="O6" s="131">
        <f ca="1">IFERROR(__xludf.DUMMYFUNCTION("""COMPUTED_VALUE"""),402)</f>
        <v>402</v>
      </c>
      <c r="P6" s="132">
        <f ca="1">IFERROR(__xludf.DUMMYFUNCTION("""COMPUTED_VALUE"""),881)</f>
        <v>881</v>
      </c>
      <c r="Q6" s="173">
        <f ca="1">IFERROR(__xludf.DUMMYFUNCTION("""COMPUTED_VALUE"""),881)</f>
        <v>881</v>
      </c>
      <c r="R6" s="174">
        <f ca="1">IFERROR(__xludf.DUMMYFUNCTION("""COMPUTED_VALUE"""),287)</f>
        <v>287</v>
      </c>
      <c r="S6" s="174">
        <f ca="1">IFERROR(__xludf.DUMMYFUNCTION("""COMPUTED_VALUE"""),14)</f>
        <v>14</v>
      </c>
      <c r="T6" s="133">
        <f ca="1">IFERROR(__xludf.DUMMYFUNCTION("""COMPUTED_VALUE"""),287)</f>
        <v>287</v>
      </c>
      <c r="U6" s="133">
        <f ca="1">IFERROR(__xludf.DUMMYFUNCTION("""COMPUTED_VALUE"""),14)</f>
        <v>14</v>
      </c>
      <c r="V6" s="175" t="str">
        <f ca="1">IFERROR(__xludf.DUMMYFUNCTION("""COMPUTED_VALUE"""),"Š")</f>
        <v>Š</v>
      </c>
      <c r="W6" s="8" t="str">
        <f ca="1">IFERROR(__xludf.DUMMYFUNCTION("""COMPUTED_VALUE"""),"Š")</f>
        <v>Š</v>
      </c>
      <c r="X6" s="8" t="str">
        <f ca="1">IFERROR(__xludf.DUMMYFUNCTION("""COMPUTED_VALUE"""),"R")</f>
        <v>R</v>
      </c>
      <c r="Y6" s="8" t="str">
        <f ca="1">IFERROR(__xludf.DUMMYFUNCTION("""COMPUTED_VALUE"""),"R")</f>
        <v>R</v>
      </c>
      <c r="Z6" s="8" t="str">
        <f ca="1">IFERROR(__xludf.DUMMYFUNCTION("""COMPUTED_VALUE"""),"M")</f>
        <v>M</v>
      </c>
      <c r="AA6" s="8" t="str">
        <f ca="1">IFERROR(__xludf.DUMMYFUNCTION("""COMPUTED_VALUE"""),"M")</f>
        <v>M</v>
      </c>
    </row>
    <row r="7" spans="1:27" ht="12.75" x14ac:dyDescent="0.2">
      <c r="A7" s="165"/>
      <c r="B7" s="134" t="str">
        <f ca="1">IFERROR(__xludf.DUMMYFUNCTION("""COMPUTED_VALUE"""),"Uhlíř Karel")</f>
        <v>Uhlíř Karel</v>
      </c>
      <c r="C7" s="135" t="str">
        <f ca="1">IFERROR(__xludf.DUMMYFUNCTION("""COMPUTED_VALUE"""),"TJ Třebíč")</f>
        <v>TJ Třebíč</v>
      </c>
      <c r="D7" s="136">
        <f ca="1">IFERROR(__xludf.DUMMYFUNCTION("""COMPUTED_VALUE"""),146)</f>
        <v>146</v>
      </c>
      <c r="E7" s="137">
        <f ca="1">IFERROR(__xludf.DUMMYFUNCTION("""COMPUTED_VALUE"""),62)</f>
        <v>62</v>
      </c>
      <c r="F7" s="137">
        <f ca="1">IFERROR(__xludf.DUMMYFUNCTION("""COMPUTED_VALUE"""),4)</f>
        <v>4</v>
      </c>
      <c r="G7" s="138">
        <f ca="1">IFERROR(__xludf.DUMMYFUNCTION("""COMPUTED_VALUE"""),208)</f>
        <v>208</v>
      </c>
      <c r="H7" s="136">
        <f ca="1">IFERROR(__xludf.DUMMYFUNCTION("""COMPUTED_VALUE"""),160)</f>
        <v>160</v>
      </c>
      <c r="I7" s="137">
        <f ca="1">IFERROR(__xludf.DUMMYFUNCTION("""COMPUTED_VALUE"""),75)</f>
        <v>75</v>
      </c>
      <c r="J7" s="137">
        <f ca="1">IFERROR(__xludf.DUMMYFUNCTION("""COMPUTED_VALUE"""),0)</f>
        <v>0</v>
      </c>
      <c r="K7" s="138">
        <f ca="1">IFERROR(__xludf.DUMMYFUNCTION("""COMPUTED_VALUE"""),235)</f>
        <v>235</v>
      </c>
      <c r="L7" s="137">
        <f ca="1">IFERROR(__xludf.DUMMYFUNCTION("""COMPUTED_VALUE"""),306)</f>
        <v>306</v>
      </c>
      <c r="M7" s="137">
        <f ca="1">IFERROR(__xludf.DUMMYFUNCTION("""COMPUTED_VALUE"""),137)</f>
        <v>137</v>
      </c>
      <c r="N7" s="137">
        <f ca="1">IFERROR(__xludf.DUMMYFUNCTION("""COMPUTED_VALUE"""),4)</f>
        <v>4</v>
      </c>
      <c r="O7" s="138">
        <f ca="1">IFERROR(__xludf.DUMMYFUNCTION("""COMPUTED_VALUE"""),443)</f>
        <v>443</v>
      </c>
      <c r="P7" s="139">
        <f ca="1">IFERROR(__xludf.DUMMYFUNCTION("""COMPUTED_VALUE"""),879)</f>
        <v>879</v>
      </c>
      <c r="Q7" s="165"/>
      <c r="R7" s="159"/>
      <c r="S7" s="159"/>
      <c r="T7" s="140">
        <f ca="1">IFERROR(__xludf.DUMMYFUNCTION("""COMPUTED_VALUE"""),290)</f>
        <v>290</v>
      </c>
      <c r="U7" s="140">
        <f ca="1">IFERROR(__xludf.DUMMYFUNCTION("""COMPUTED_VALUE"""),5)</f>
        <v>5</v>
      </c>
      <c r="V7" s="159"/>
      <c r="W7" s="141" t="str">
        <f ca="1">IFERROR(__xludf.DUMMYFUNCTION("""COMPUTED_VALUE"""),"TV")</f>
        <v>TV</v>
      </c>
      <c r="X7" s="141" t="str">
        <f ca="1">IFERROR(__xludf.DUMMYFUNCTION("""COMPUTED_VALUE"""),"R")</f>
        <v>R</v>
      </c>
      <c r="Y7" s="141" t="str">
        <f ca="1">IFERROR(__xludf.DUMMYFUNCTION("""COMPUTED_VALUE"""),"R")</f>
        <v>R</v>
      </c>
      <c r="Z7" s="141" t="str">
        <f ca="1">IFERROR(__xludf.DUMMYFUNCTION("""COMPUTED_VALUE"""),"M")</f>
        <v>M</v>
      </c>
      <c r="AA7" s="8" t="str">
        <f ca="1">IFERROR(__xludf.DUMMYFUNCTION("""COMPUTED_VALUE"""),"M")</f>
        <v>M</v>
      </c>
    </row>
    <row r="8" spans="1:27" ht="12.75" x14ac:dyDescent="0.2">
      <c r="A8" s="172">
        <v>4</v>
      </c>
      <c r="B8" s="127" t="str">
        <f ca="1">IFERROR(__xludf.DUMMYFUNCTION("""COMPUTED_VALUE"""),"Jelínek David")</f>
        <v>Jelínek David</v>
      </c>
      <c r="C8" s="128" t="str">
        <f ca="1">IFERROR(__xludf.DUMMYFUNCTION("""COMPUTED_VALUE"""),"KK Slavoj Žirovnice")</f>
        <v>KK Slavoj Žirovnice</v>
      </c>
      <c r="D8" s="129">
        <f ca="1">IFERROR(__xludf.DUMMYFUNCTION("""COMPUTED_VALUE"""),153)</f>
        <v>153</v>
      </c>
      <c r="E8" s="130">
        <f ca="1">IFERROR(__xludf.DUMMYFUNCTION("""COMPUTED_VALUE"""),70)</f>
        <v>70</v>
      </c>
      <c r="F8" s="130">
        <f ca="1">IFERROR(__xludf.DUMMYFUNCTION("""COMPUTED_VALUE"""),2)</f>
        <v>2</v>
      </c>
      <c r="G8" s="131">
        <f ca="1">IFERROR(__xludf.DUMMYFUNCTION("""COMPUTED_VALUE"""),223)</f>
        <v>223</v>
      </c>
      <c r="H8" s="129">
        <f ca="1">IFERROR(__xludf.DUMMYFUNCTION("""COMPUTED_VALUE"""),144)</f>
        <v>144</v>
      </c>
      <c r="I8" s="130">
        <f ca="1">IFERROR(__xludf.DUMMYFUNCTION("""COMPUTED_VALUE"""),62)</f>
        <v>62</v>
      </c>
      <c r="J8" s="130">
        <f ca="1">IFERROR(__xludf.DUMMYFUNCTION("""COMPUTED_VALUE"""),3)</f>
        <v>3</v>
      </c>
      <c r="K8" s="131">
        <f ca="1">IFERROR(__xludf.DUMMYFUNCTION("""COMPUTED_VALUE"""),206)</f>
        <v>206</v>
      </c>
      <c r="L8" s="130">
        <f ca="1">IFERROR(__xludf.DUMMYFUNCTION("""COMPUTED_VALUE"""),297)</f>
        <v>297</v>
      </c>
      <c r="M8" s="130">
        <f ca="1">IFERROR(__xludf.DUMMYFUNCTION("""COMPUTED_VALUE"""),132)</f>
        <v>132</v>
      </c>
      <c r="N8" s="130">
        <f ca="1">IFERROR(__xludf.DUMMYFUNCTION("""COMPUTED_VALUE"""),5)</f>
        <v>5</v>
      </c>
      <c r="O8" s="131">
        <f ca="1">IFERROR(__xludf.DUMMYFUNCTION("""COMPUTED_VALUE"""),429)</f>
        <v>429</v>
      </c>
      <c r="P8" s="132">
        <f ca="1">IFERROR(__xludf.DUMMYFUNCTION("""COMPUTED_VALUE"""),873)</f>
        <v>873</v>
      </c>
      <c r="Q8" s="173">
        <f ca="1">IFERROR(__xludf.DUMMYFUNCTION("""COMPUTED_VALUE"""),873)</f>
        <v>873</v>
      </c>
      <c r="R8" s="174">
        <f ca="1">IFERROR(__xludf.DUMMYFUNCTION("""COMPUTED_VALUE"""),291)</f>
        <v>291</v>
      </c>
      <c r="S8" s="174">
        <f ca="1">IFERROR(__xludf.DUMMYFUNCTION("""COMPUTED_VALUE"""),8)</f>
        <v>8</v>
      </c>
      <c r="T8" s="133">
        <f ca="1">IFERROR(__xludf.DUMMYFUNCTION("""COMPUTED_VALUE"""),291)</f>
        <v>291</v>
      </c>
      <c r="U8" s="133">
        <f ca="1">IFERROR(__xludf.DUMMYFUNCTION("""COMPUTED_VALUE"""),8)</f>
        <v>8</v>
      </c>
      <c r="V8" s="175" t="str">
        <f ca="1">IFERROR(__xludf.DUMMYFUNCTION("""COMPUTED_VALUE"""),"TV")</f>
        <v>TV</v>
      </c>
      <c r="W8" s="8" t="str">
        <f ca="1">IFERROR(__xludf.DUMMYFUNCTION("""COMPUTED_VALUE"""),"TV")</f>
        <v>TV</v>
      </c>
      <c r="X8" s="8" t="str">
        <f ca="1">IFERROR(__xludf.DUMMYFUNCTION("""COMPUTED_VALUE"""),"R")</f>
        <v>R</v>
      </c>
      <c r="Y8" s="8" t="str">
        <f ca="1">IFERROR(__xludf.DUMMYFUNCTION("""COMPUTED_VALUE"""),"R")</f>
        <v>R</v>
      </c>
      <c r="Z8" s="8" t="str">
        <f ca="1">IFERROR(__xludf.DUMMYFUNCTION("""COMPUTED_VALUE"""),"M")</f>
        <v>M</v>
      </c>
      <c r="AA8" s="8" t="str">
        <f ca="1">IFERROR(__xludf.DUMMYFUNCTION("""COMPUTED_VALUE"""),"M")</f>
        <v>M</v>
      </c>
    </row>
    <row r="9" spans="1:27" ht="12.75" x14ac:dyDescent="0.2">
      <c r="A9" s="165"/>
      <c r="B9" s="134" t="str">
        <f ca="1">IFERROR(__xludf.DUMMYFUNCTION("""COMPUTED_VALUE"""),"Kouhout Pavel")</f>
        <v>Kouhout Pavel</v>
      </c>
      <c r="C9" s="135" t="str">
        <f ca="1">IFERROR(__xludf.DUMMYFUNCTION("""COMPUTED_VALUE"""),"TJ Třebíč")</f>
        <v>TJ Třebíč</v>
      </c>
      <c r="D9" s="136">
        <f ca="1">IFERROR(__xludf.DUMMYFUNCTION("""COMPUTED_VALUE"""),147)</f>
        <v>147</v>
      </c>
      <c r="E9" s="137">
        <f ca="1">IFERROR(__xludf.DUMMYFUNCTION("""COMPUTED_VALUE"""),69)</f>
        <v>69</v>
      </c>
      <c r="F9" s="137">
        <f ca="1">IFERROR(__xludf.DUMMYFUNCTION("""COMPUTED_VALUE"""),3)</f>
        <v>3</v>
      </c>
      <c r="G9" s="138">
        <f ca="1">IFERROR(__xludf.DUMMYFUNCTION("""COMPUTED_VALUE"""),216)</f>
        <v>216</v>
      </c>
      <c r="H9" s="136">
        <f ca="1">IFERROR(__xludf.DUMMYFUNCTION("""COMPUTED_VALUE"""),153)</f>
        <v>153</v>
      </c>
      <c r="I9" s="137">
        <f ca="1">IFERROR(__xludf.DUMMYFUNCTION("""COMPUTED_VALUE"""),72)</f>
        <v>72</v>
      </c>
      <c r="J9" s="137">
        <f ca="1">IFERROR(__xludf.DUMMYFUNCTION("""COMPUTED_VALUE"""),2)</f>
        <v>2</v>
      </c>
      <c r="K9" s="138">
        <f ca="1">IFERROR(__xludf.DUMMYFUNCTION("""COMPUTED_VALUE"""),225)</f>
        <v>225</v>
      </c>
      <c r="L9" s="137">
        <f ca="1">IFERROR(__xludf.DUMMYFUNCTION("""COMPUTED_VALUE"""),300)</f>
        <v>300</v>
      </c>
      <c r="M9" s="137">
        <f ca="1">IFERROR(__xludf.DUMMYFUNCTION("""COMPUTED_VALUE"""),141)</f>
        <v>141</v>
      </c>
      <c r="N9" s="137">
        <f ca="1">IFERROR(__xludf.DUMMYFUNCTION("""COMPUTED_VALUE"""),5)</f>
        <v>5</v>
      </c>
      <c r="O9" s="138">
        <f ca="1">IFERROR(__xludf.DUMMYFUNCTION("""COMPUTED_VALUE"""),441)</f>
        <v>441</v>
      </c>
      <c r="P9" s="139">
        <f ca="1">IFERROR(__xludf.DUMMYFUNCTION("""COMPUTED_VALUE"""),845)</f>
        <v>845</v>
      </c>
      <c r="Q9" s="165"/>
      <c r="R9" s="159"/>
      <c r="S9" s="159"/>
      <c r="T9" s="140">
        <f ca="1">IFERROR(__xludf.DUMMYFUNCTION("""COMPUTED_VALUE"""),272)</f>
        <v>272</v>
      </c>
      <c r="U9" s="140">
        <f ca="1">IFERROR(__xludf.DUMMYFUNCTION("""COMPUTED_VALUE"""),11)</f>
        <v>11</v>
      </c>
      <c r="V9" s="159"/>
      <c r="W9" s="141" t="str">
        <f ca="1">IFERROR(__xludf.DUMMYFUNCTION("""COMPUTED_VALUE"""),"TV")</f>
        <v>TV</v>
      </c>
      <c r="X9" s="141" t="str">
        <f ca="1">IFERROR(__xludf.DUMMYFUNCTION("""COMPUTED_VALUE"""),"R")</f>
        <v>R</v>
      </c>
      <c r="Y9" s="141" t="str">
        <f ca="1">IFERROR(__xludf.DUMMYFUNCTION("""COMPUTED_VALUE"""),"R")</f>
        <v>R</v>
      </c>
      <c r="Z9" s="141" t="str">
        <f ca="1">IFERROR(__xludf.DUMMYFUNCTION("""COMPUTED_VALUE"""),"M")</f>
        <v>M</v>
      </c>
      <c r="AA9" s="8" t="str">
        <f ca="1">IFERROR(__xludf.DUMMYFUNCTION("""COMPUTED_VALUE"""),"M")</f>
        <v>M</v>
      </c>
    </row>
    <row r="10" spans="1:27" ht="12.75" x14ac:dyDescent="0.2">
      <c r="A10" s="172">
        <v>5</v>
      </c>
      <c r="B10" s="127" t="str">
        <f ca="1">IFERROR(__xludf.DUMMYFUNCTION("""COMPUTED_VALUE"""),"Hlisnikovský Karel")</f>
        <v>Hlisnikovský Karel</v>
      </c>
      <c r="C10" s="128" t="str">
        <f ca="1">IFERROR(__xludf.DUMMYFUNCTION("""COMPUTED_VALUE"""),"Nové Město na Moravě")</f>
        <v>Nové Město na Moravě</v>
      </c>
      <c r="D10" s="129">
        <f ca="1">IFERROR(__xludf.DUMMYFUNCTION("""COMPUTED_VALUE"""),142)</f>
        <v>142</v>
      </c>
      <c r="E10" s="130">
        <f ca="1">IFERROR(__xludf.DUMMYFUNCTION("""COMPUTED_VALUE"""),52)</f>
        <v>52</v>
      </c>
      <c r="F10" s="130">
        <f ca="1">IFERROR(__xludf.DUMMYFUNCTION("""COMPUTED_VALUE"""),4)</f>
        <v>4</v>
      </c>
      <c r="G10" s="131">
        <f ca="1">IFERROR(__xludf.DUMMYFUNCTION("""COMPUTED_VALUE"""),194)</f>
        <v>194</v>
      </c>
      <c r="H10" s="129">
        <f ca="1">IFERROR(__xludf.DUMMYFUNCTION("""COMPUTED_VALUE"""),146)</f>
        <v>146</v>
      </c>
      <c r="I10" s="130">
        <f ca="1">IFERROR(__xludf.DUMMYFUNCTION("""COMPUTED_VALUE"""),79)</f>
        <v>79</v>
      </c>
      <c r="J10" s="130">
        <f ca="1">IFERROR(__xludf.DUMMYFUNCTION("""COMPUTED_VALUE"""),0)</f>
        <v>0</v>
      </c>
      <c r="K10" s="131">
        <f ca="1">IFERROR(__xludf.DUMMYFUNCTION("""COMPUTED_VALUE"""),225)</f>
        <v>225</v>
      </c>
      <c r="L10" s="130">
        <f ca="1">IFERROR(__xludf.DUMMYFUNCTION("""COMPUTED_VALUE"""),288)</f>
        <v>288</v>
      </c>
      <c r="M10" s="130">
        <f ca="1">IFERROR(__xludf.DUMMYFUNCTION("""COMPUTED_VALUE"""),131)</f>
        <v>131</v>
      </c>
      <c r="N10" s="130">
        <f ca="1">IFERROR(__xludf.DUMMYFUNCTION("""COMPUTED_VALUE"""),4)</f>
        <v>4</v>
      </c>
      <c r="O10" s="131">
        <f ca="1">IFERROR(__xludf.DUMMYFUNCTION("""COMPUTED_VALUE"""),419)</f>
        <v>419</v>
      </c>
      <c r="P10" s="132">
        <f ca="1">IFERROR(__xludf.DUMMYFUNCTION("""COMPUTED_VALUE"""),838)</f>
        <v>838</v>
      </c>
      <c r="Q10" s="173">
        <f ca="1">IFERROR(__xludf.DUMMYFUNCTION("""COMPUTED_VALUE"""),838)</f>
        <v>838</v>
      </c>
      <c r="R10" s="174">
        <f ca="1">IFERROR(__xludf.DUMMYFUNCTION("""COMPUTED_VALUE"""),255)</f>
        <v>255</v>
      </c>
      <c r="S10" s="174">
        <f ca="1">IFERROR(__xludf.DUMMYFUNCTION("""COMPUTED_VALUE"""),11)</f>
        <v>11</v>
      </c>
      <c r="T10" s="133">
        <f ca="1">IFERROR(__xludf.DUMMYFUNCTION("""COMPUTED_VALUE"""),255)</f>
        <v>255</v>
      </c>
      <c r="U10" s="133">
        <f ca="1">IFERROR(__xludf.DUMMYFUNCTION("""COMPUTED_VALUE"""),11)</f>
        <v>11</v>
      </c>
      <c r="V10" s="175" t="str">
        <f ca="1">IFERROR(__xludf.DUMMYFUNCTION("""COMPUTED_VALUE"""),"Š")</f>
        <v>Š</v>
      </c>
      <c r="W10" s="8" t="str">
        <f ca="1">IFERROR(__xludf.DUMMYFUNCTION("""COMPUTED_VALUE"""),"Š")</f>
        <v>Š</v>
      </c>
      <c r="X10" s="8" t="str">
        <f ca="1">IFERROR(__xludf.DUMMYFUNCTION("""COMPUTED_VALUE"""),"R")</f>
        <v>R</v>
      </c>
      <c r="Y10" s="8" t="str">
        <f ca="1">IFERROR(__xludf.DUMMYFUNCTION("""COMPUTED_VALUE"""),"R")</f>
        <v>R</v>
      </c>
      <c r="Z10" s="8" t="str">
        <f ca="1">IFERROR(__xludf.DUMMYFUNCTION("""COMPUTED_VALUE"""),"M")</f>
        <v>M</v>
      </c>
      <c r="AA10" s="8" t="str">
        <f ca="1">IFERROR(__xludf.DUMMYFUNCTION("""COMPUTED_VALUE"""),"M")</f>
        <v>M</v>
      </c>
    </row>
    <row r="11" spans="1:27" ht="12.75" x14ac:dyDescent="0.2">
      <c r="A11" s="165"/>
      <c r="B11" s="134" t="str">
        <f ca="1">IFERROR(__xludf.DUMMYFUNCTION("""COMPUTED_VALUE"""),"Škoda Pavel")</f>
        <v>Škoda Pavel</v>
      </c>
      <c r="C11" s="135" t="str">
        <f ca="1">IFERROR(__xludf.DUMMYFUNCTION("""COMPUTED_VALUE"""),"Nové Město na Moravě")</f>
        <v>Nové Město na Moravě</v>
      </c>
      <c r="D11" s="136">
        <f ca="1">IFERROR(__xludf.DUMMYFUNCTION("""COMPUTED_VALUE"""),143)</f>
        <v>143</v>
      </c>
      <c r="E11" s="137">
        <f ca="1">IFERROR(__xludf.DUMMYFUNCTION("""COMPUTED_VALUE"""),62)</f>
        <v>62</v>
      </c>
      <c r="F11" s="137">
        <f ca="1">IFERROR(__xludf.DUMMYFUNCTION("""COMPUTED_VALUE"""),2)</f>
        <v>2</v>
      </c>
      <c r="G11" s="138">
        <f ca="1">IFERROR(__xludf.DUMMYFUNCTION("""COMPUTED_VALUE"""),205)</f>
        <v>205</v>
      </c>
      <c r="H11" s="136">
        <f ca="1">IFERROR(__xludf.DUMMYFUNCTION("""COMPUTED_VALUE"""),142)</f>
        <v>142</v>
      </c>
      <c r="I11" s="137">
        <f ca="1">IFERROR(__xludf.DUMMYFUNCTION("""COMPUTED_VALUE"""),79)</f>
        <v>79</v>
      </c>
      <c r="J11" s="137">
        <f ca="1">IFERROR(__xludf.DUMMYFUNCTION("""COMPUTED_VALUE"""),0)</f>
        <v>0</v>
      </c>
      <c r="K11" s="138">
        <f ca="1">IFERROR(__xludf.DUMMYFUNCTION("""COMPUTED_VALUE"""),221)</f>
        <v>221</v>
      </c>
      <c r="L11" s="137">
        <f ca="1">IFERROR(__xludf.DUMMYFUNCTION("""COMPUTED_VALUE"""),285)</f>
        <v>285</v>
      </c>
      <c r="M11" s="137">
        <f ca="1">IFERROR(__xludf.DUMMYFUNCTION("""COMPUTED_VALUE"""),141)</f>
        <v>141</v>
      </c>
      <c r="N11" s="137">
        <f ca="1">IFERROR(__xludf.DUMMYFUNCTION("""COMPUTED_VALUE"""),2)</f>
        <v>2</v>
      </c>
      <c r="O11" s="138">
        <f ca="1">IFERROR(__xludf.DUMMYFUNCTION("""COMPUTED_VALUE"""),426)</f>
        <v>426</v>
      </c>
      <c r="P11" s="139">
        <f ca="1">IFERROR(__xludf.DUMMYFUNCTION("""COMPUTED_VALUE"""),835)</f>
        <v>835</v>
      </c>
      <c r="Q11" s="165"/>
      <c r="R11" s="159"/>
      <c r="S11" s="159"/>
      <c r="T11" s="140">
        <f ca="1">IFERROR(__xludf.DUMMYFUNCTION("""COMPUTED_VALUE"""),248)</f>
        <v>248</v>
      </c>
      <c r="U11" s="140">
        <f ca="1">IFERROR(__xludf.DUMMYFUNCTION("""COMPUTED_VALUE"""),12)</f>
        <v>12</v>
      </c>
      <c r="V11" s="159"/>
      <c r="W11" s="141" t="str">
        <f ca="1">IFERROR(__xludf.DUMMYFUNCTION("""COMPUTED_VALUE"""),"TV")</f>
        <v>TV</v>
      </c>
      <c r="X11" s="141" t="str">
        <f ca="1">IFERROR(__xludf.DUMMYFUNCTION("""COMPUTED_VALUE"""),"R")</f>
        <v>R</v>
      </c>
      <c r="Y11" s="141" t="str">
        <f ca="1">IFERROR(__xludf.DUMMYFUNCTION("""COMPUTED_VALUE"""),"R")</f>
        <v>R</v>
      </c>
      <c r="Z11" s="141" t="str">
        <f ca="1">IFERROR(__xludf.DUMMYFUNCTION("""COMPUTED_VALUE"""),"M")</f>
        <v>M</v>
      </c>
      <c r="AA11" s="8" t="str">
        <f ca="1">IFERROR(__xludf.DUMMYFUNCTION("""COMPUTED_VALUE"""),"M")</f>
        <v>M</v>
      </c>
    </row>
    <row r="12" spans="1:27" ht="12.75" x14ac:dyDescent="0.2">
      <c r="A12" s="172">
        <v>6</v>
      </c>
      <c r="B12" s="127" t="str">
        <f ca="1">IFERROR(__xludf.DUMMYFUNCTION("""COMPUTED_VALUE"""),"Miko Michal")</f>
        <v>Miko Michal</v>
      </c>
      <c r="C12" s="128" t="str">
        <f ca="1">IFERROR(__xludf.DUMMYFUNCTION("""COMPUTED_VALUE"""),"Nové Město na Moravě")</f>
        <v>Nové Město na Moravě</v>
      </c>
      <c r="D12" s="129">
        <f ca="1">IFERROR(__xludf.DUMMYFUNCTION("""COMPUTED_VALUE"""),147)</f>
        <v>147</v>
      </c>
      <c r="E12" s="130">
        <f ca="1">IFERROR(__xludf.DUMMYFUNCTION("""COMPUTED_VALUE"""),54)</f>
        <v>54</v>
      </c>
      <c r="F12" s="130">
        <f ca="1">IFERROR(__xludf.DUMMYFUNCTION("""COMPUTED_VALUE"""),5)</f>
        <v>5</v>
      </c>
      <c r="G12" s="131">
        <f ca="1">IFERROR(__xludf.DUMMYFUNCTION("""COMPUTED_VALUE"""),201)</f>
        <v>201</v>
      </c>
      <c r="H12" s="129">
        <f ca="1">IFERROR(__xludf.DUMMYFUNCTION("""COMPUTED_VALUE"""),139)</f>
        <v>139</v>
      </c>
      <c r="I12" s="130">
        <f ca="1">IFERROR(__xludf.DUMMYFUNCTION("""COMPUTED_VALUE"""),59)</f>
        <v>59</v>
      </c>
      <c r="J12" s="130">
        <f ca="1">IFERROR(__xludf.DUMMYFUNCTION("""COMPUTED_VALUE"""),3)</f>
        <v>3</v>
      </c>
      <c r="K12" s="131">
        <f ca="1">IFERROR(__xludf.DUMMYFUNCTION("""COMPUTED_VALUE"""),198)</f>
        <v>198</v>
      </c>
      <c r="L12" s="130">
        <f ca="1">IFERROR(__xludf.DUMMYFUNCTION("""COMPUTED_VALUE"""),286)</f>
        <v>286</v>
      </c>
      <c r="M12" s="130">
        <f ca="1">IFERROR(__xludf.DUMMYFUNCTION("""COMPUTED_VALUE"""),113)</f>
        <v>113</v>
      </c>
      <c r="N12" s="130">
        <f ca="1">IFERROR(__xludf.DUMMYFUNCTION("""COMPUTED_VALUE"""),8)</f>
        <v>8</v>
      </c>
      <c r="O12" s="131">
        <f ca="1">IFERROR(__xludf.DUMMYFUNCTION("""COMPUTED_VALUE"""),399)</f>
        <v>399</v>
      </c>
      <c r="P12" s="132">
        <f ca="1">IFERROR(__xludf.DUMMYFUNCTION("""COMPUTED_VALUE"""),818)</f>
        <v>818</v>
      </c>
      <c r="Q12" s="173">
        <f ca="1">IFERROR(__xludf.DUMMYFUNCTION("""COMPUTED_VALUE"""),818)</f>
        <v>818</v>
      </c>
      <c r="R12" s="174">
        <f ca="1">IFERROR(__xludf.DUMMYFUNCTION("""COMPUTED_VALUE"""),255)</f>
        <v>255</v>
      </c>
      <c r="S12" s="174">
        <f ca="1">IFERROR(__xludf.DUMMYFUNCTION("""COMPUTED_VALUE"""),15)</f>
        <v>15</v>
      </c>
      <c r="T12" s="133">
        <f ca="1">IFERROR(__xludf.DUMMYFUNCTION("""COMPUTED_VALUE"""),255)</f>
        <v>255</v>
      </c>
      <c r="U12" s="133">
        <f ca="1">IFERROR(__xludf.DUMMYFUNCTION("""COMPUTED_VALUE"""),15)</f>
        <v>15</v>
      </c>
      <c r="V12" s="175" t="str">
        <f ca="1">IFERROR(__xludf.DUMMYFUNCTION("""COMPUTED_VALUE"""),"Š")</f>
        <v>Š</v>
      </c>
      <c r="W12" s="8" t="str">
        <f ca="1">IFERROR(__xludf.DUMMYFUNCTION("""COMPUTED_VALUE"""),"Š")</f>
        <v>Š</v>
      </c>
      <c r="X12" s="8" t="str">
        <f ca="1">IFERROR(__xludf.DUMMYFUNCTION("""COMPUTED_VALUE"""),"R")</f>
        <v>R</v>
      </c>
      <c r="Y12" s="8" t="str">
        <f ca="1">IFERROR(__xludf.DUMMYFUNCTION("""COMPUTED_VALUE"""),"R")</f>
        <v>R</v>
      </c>
      <c r="Z12" s="8" t="str">
        <f ca="1">IFERROR(__xludf.DUMMYFUNCTION("""COMPUTED_VALUE"""),"M")</f>
        <v>M</v>
      </c>
      <c r="AA12" s="8" t="str">
        <f ca="1">IFERROR(__xludf.DUMMYFUNCTION("""COMPUTED_VALUE"""),"M")</f>
        <v>M</v>
      </c>
    </row>
    <row r="13" spans="1:27" ht="12.75" x14ac:dyDescent="0.2">
      <c r="A13" s="165"/>
      <c r="B13" s="134" t="str">
        <f ca="1">IFERROR(__xludf.DUMMYFUNCTION("""COMPUTED_VALUE"""),"Zubatý Martin")</f>
        <v>Zubatý Martin</v>
      </c>
      <c r="C13" s="135" t="str">
        <f ca="1">IFERROR(__xludf.DUMMYFUNCTION("""COMPUTED_VALUE"""),"SKK Veverky Brno")</f>
        <v>SKK Veverky Brno</v>
      </c>
      <c r="D13" s="136">
        <f ca="1">IFERROR(__xludf.DUMMYFUNCTION("""COMPUTED_VALUE"""),139)</f>
        <v>139</v>
      </c>
      <c r="E13" s="137">
        <f ca="1">IFERROR(__xludf.DUMMYFUNCTION("""COMPUTED_VALUE"""),61)</f>
        <v>61</v>
      </c>
      <c r="F13" s="137">
        <f ca="1">IFERROR(__xludf.DUMMYFUNCTION("""COMPUTED_VALUE"""),2)</f>
        <v>2</v>
      </c>
      <c r="G13" s="138">
        <f ca="1">IFERROR(__xludf.DUMMYFUNCTION("""COMPUTED_VALUE"""),200)</f>
        <v>200</v>
      </c>
      <c r="H13" s="136">
        <f ca="1">IFERROR(__xludf.DUMMYFUNCTION("""COMPUTED_VALUE"""),144)</f>
        <v>144</v>
      </c>
      <c r="I13" s="137">
        <f ca="1">IFERROR(__xludf.DUMMYFUNCTION("""COMPUTED_VALUE"""),53)</f>
        <v>53</v>
      </c>
      <c r="J13" s="137">
        <f ca="1">IFERROR(__xludf.DUMMYFUNCTION("""COMPUTED_VALUE"""),5)</f>
        <v>5</v>
      </c>
      <c r="K13" s="138">
        <f ca="1">IFERROR(__xludf.DUMMYFUNCTION("""COMPUTED_VALUE"""),197)</f>
        <v>197</v>
      </c>
      <c r="L13" s="137">
        <f ca="1">IFERROR(__xludf.DUMMYFUNCTION("""COMPUTED_VALUE"""),283)</f>
        <v>283</v>
      </c>
      <c r="M13" s="137">
        <f ca="1">IFERROR(__xludf.DUMMYFUNCTION("""COMPUTED_VALUE"""),114)</f>
        <v>114</v>
      </c>
      <c r="N13" s="137">
        <f ca="1">IFERROR(__xludf.DUMMYFUNCTION("""COMPUTED_VALUE"""),7)</f>
        <v>7</v>
      </c>
      <c r="O13" s="138">
        <f ca="1">IFERROR(__xludf.DUMMYFUNCTION("""COMPUTED_VALUE"""),397)</f>
        <v>397</v>
      </c>
      <c r="P13" s="139">
        <f ca="1">IFERROR(__xludf.DUMMYFUNCTION("""COMPUTED_VALUE"""),801)</f>
        <v>801</v>
      </c>
      <c r="Q13" s="165"/>
      <c r="R13" s="159"/>
      <c r="S13" s="159"/>
      <c r="T13" s="140">
        <f ca="1">IFERROR(__xludf.DUMMYFUNCTION("""COMPUTED_VALUE"""),228)</f>
        <v>228</v>
      </c>
      <c r="U13" s="140">
        <f ca="1">IFERROR(__xludf.DUMMYFUNCTION("""COMPUTED_VALUE"""),14)</f>
        <v>14</v>
      </c>
      <c r="V13" s="159"/>
      <c r="W13" s="141" t="str">
        <f ca="1">IFERROR(__xludf.DUMMYFUNCTION("""COMPUTED_VALUE"""),"Š")</f>
        <v>Š</v>
      </c>
      <c r="X13" s="141" t="str">
        <f ca="1">IFERROR(__xludf.DUMMYFUNCTION("""COMPUTED_VALUE"""),"R")</f>
        <v>R</v>
      </c>
      <c r="Y13" s="141" t="str">
        <f ca="1">IFERROR(__xludf.DUMMYFUNCTION("""COMPUTED_VALUE"""),"R")</f>
        <v>R</v>
      </c>
      <c r="Z13" s="141" t="str">
        <f ca="1">IFERROR(__xludf.DUMMYFUNCTION("""COMPUTED_VALUE"""),"M")</f>
        <v>M</v>
      </c>
      <c r="AA13" s="8" t="str">
        <f ca="1">IFERROR(__xludf.DUMMYFUNCTION("""COMPUTED_VALUE"""),"M")</f>
        <v>M</v>
      </c>
    </row>
    <row r="14" spans="1:27" ht="12.75" x14ac:dyDescent="0.2">
      <c r="A14" s="172">
        <v>7</v>
      </c>
      <c r="B14" s="127" t="str">
        <f ca="1">IFERROR(__xludf.DUMMYFUNCTION("""COMPUTED_VALUE"""),"Hlisnikovský Petr")</f>
        <v>Hlisnikovský Petr</v>
      </c>
      <c r="C14" s="128" t="str">
        <f ca="1">IFERROR(__xludf.DUMMYFUNCTION("""COMPUTED_VALUE"""),"Nové Město na Moravě")</f>
        <v>Nové Město na Moravě</v>
      </c>
      <c r="D14" s="129">
        <f ca="1">IFERROR(__xludf.DUMMYFUNCTION("""COMPUTED_VALUE"""),149)</f>
        <v>149</v>
      </c>
      <c r="E14" s="130">
        <f ca="1">IFERROR(__xludf.DUMMYFUNCTION("""COMPUTED_VALUE"""),52)</f>
        <v>52</v>
      </c>
      <c r="F14" s="130">
        <f ca="1">IFERROR(__xludf.DUMMYFUNCTION("""COMPUTED_VALUE"""),4)</f>
        <v>4</v>
      </c>
      <c r="G14" s="131">
        <f ca="1">IFERROR(__xludf.DUMMYFUNCTION("""COMPUTED_VALUE"""),201)</f>
        <v>201</v>
      </c>
      <c r="H14" s="129">
        <f ca="1">IFERROR(__xludf.DUMMYFUNCTION("""COMPUTED_VALUE"""),144)</f>
        <v>144</v>
      </c>
      <c r="I14" s="130">
        <f ca="1">IFERROR(__xludf.DUMMYFUNCTION("""COMPUTED_VALUE"""),50)</f>
        <v>50</v>
      </c>
      <c r="J14" s="130">
        <f ca="1">IFERROR(__xludf.DUMMYFUNCTION("""COMPUTED_VALUE"""),5)</f>
        <v>5</v>
      </c>
      <c r="K14" s="131">
        <f ca="1">IFERROR(__xludf.DUMMYFUNCTION("""COMPUTED_VALUE"""),194)</f>
        <v>194</v>
      </c>
      <c r="L14" s="130">
        <f ca="1">IFERROR(__xludf.DUMMYFUNCTION("""COMPUTED_VALUE"""),293)</f>
        <v>293</v>
      </c>
      <c r="M14" s="130">
        <f ca="1">IFERROR(__xludf.DUMMYFUNCTION("""COMPUTED_VALUE"""),102)</f>
        <v>102</v>
      </c>
      <c r="N14" s="130">
        <f ca="1">IFERROR(__xludf.DUMMYFUNCTION("""COMPUTED_VALUE"""),9)</f>
        <v>9</v>
      </c>
      <c r="O14" s="131">
        <f ca="1">IFERROR(__xludf.DUMMYFUNCTION("""COMPUTED_VALUE"""),395)</f>
        <v>395</v>
      </c>
      <c r="P14" s="132">
        <f ca="1">IFERROR(__xludf.DUMMYFUNCTION("""COMPUTED_VALUE"""),800)</f>
        <v>800</v>
      </c>
      <c r="Q14" s="173">
        <f ca="1">IFERROR(__xludf.DUMMYFUNCTION("""COMPUTED_VALUE"""),800)</f>
        <v>800</v>
      </c>
      <c r="R14" s="174">
        <f ca="1">IFERROR(__xludf.DUMMYFUNCTION("""COMPUTED_VALUE"""),234)</f>
        <v>234</v>
      </c>
      <c r="S14" s="174">
        <f ca="1">IFERROR(__xludf.DUMMYFUNCTION("""COMPUTED_VALUE"""),16)</f>
        <v>16</v>
      </c>
      <c r="T14" s="133">
        <f ca="1">IFERROR(__xludf.DUMMYFUNCTION("""COMPUTED_VALUE"""),234)</f>
        <v>234</v>
      </c>
      <c r="U14" s="133">
        <f ca="1">IFERROR(__xludf.DUMMYFUNCTION("""COMPUTED_VALUE"""),16)</f>
        <v>16</v>
      </c>
      <c r="V14" s="175" t="str">
        <f ca="1">IFERROR(__xludf.DUMMYFUNCTION("""COMPUTED_VALUE"""),"Š")</f>
        <v>Š</v>
      </c>
      <c r="W14" s="8" t="str">
        <f ca="1">IFERROR(__xludf.DUMMYFUNCTION("""COMPUTED_VALUE"""),"Š")</f>
        <v>Š</v>
      </c>
      <c r="X14" s="8" t="str">
        <f ca="1">IFERROR(__xludf.DUMMYFUNCTION("""COMPUTED_VALUE"""),"R")</f>
        <v>R</v>
      </c>
      <c r="Y14" s="8" t="str">
        <f ca="1">IFERROR(__xludf.DUMMYFUNCTION("""COMPUTED_VALUE"""),"R")</f>
        <v>R</v>
      </c>
      <c r="Z14" s="8" t="str">
        <f ca="1">IFERROR(__xludf.DUMMYFUNCTION("""COMPUTED_VALUE"""),"M")</f>
        <v>M</v>
      </c>
      <c r="AA14" s="8" t="str">
        <f ca="1">IFERROR(__xludf.DUMMYFUNCTION("""COMPUTED_VALUE"""),"M")</f>
        <v>M</v>
      </c>
    </row>
    <row r="15" spans="1:27" ht="12.75" x14ac:dyDescent="0.2">
      <c r="A15" s="165"/>
      <c r="B15" s="134" t="str">
        <f ca="1">IFERROR(__xludf.DUMMYFUNCTION("""COMPUTED_VALUE"""),"Šikula Petr")</f>
        <v>Šikula Petr</v>
      </c>
      <c r="C15" s="135" t="str">
        <f ca="1">IFERROR(__xludf.DUMMYFUNCTION("""COMPUTED_VALUE"""),"Nové Město na Moravě")</f>
        <v>Nové Město na Moravě</v>
      </c>
      <c r="D15" s="136">
        <f ca="1">IFERROR(__xludf.DUMMYFUNCTION("""COMPUTED_VALUE"""),139)</f>
        <v>139</v>
      </c>
      <c r="E15" s="137">
        <f ca="1">IFERROR(__xludf.DUMMYFUNCTION("""COMPUTED_VALUE"""),62)</f>
        <v>62</v>
      </c>
      <c r="F15" s="137">
        <f ca="1">IFERROR(__xludf.DUMMYFUNCTION("""COMPUTED_VALUE"""),1)</f>
        <v>1</v>
      </c>
      <c r="G15" s="138">
        <f ca="1">IFERROR(__xludf.DUMMYFUNCTION("""COMPUTED_VALUE"""),201)</f>
        <v>201</v>
      </c>
      <c r="H15" s="136">
        <f ca="1">IFERROR(__xludf.DUMMYFUNCTION("""COMPUTED_VALUE"""),146)</f>
        <v>146</v>
      </c>
      <c r="I15" s="137">
        <f ca="1">IFERROR(__xludf.DUMMYFUNCTION("""COMPUTED_VALUE"""),68)</f>
        <v>68</v>
      </c>
      <c r="J15" s="137">
        <f ca="1">IFERROR(__xludf.DUMMYFUNCTION("""COMPUTED_VALUE"""),3)</f>
        <v>3</v>
      </c>
      <c r="K15" s="138">
        <f ca="1">IFERROR(__xludf.DUMMYFUNCTION("""COMPUTED_VALUE"""),214)</f>
        <v>214</v>
      </c>
      <c r="L15" s="137">
        <f ca="1">IFERROR(__xludf.DUMMYFUNCTION("""COMPUTED_VALUE"""),285)</f>
        <v>285</v>
      </c>
      <c r="M15" s="137">
        <f ca="1">IFERROR(__xludf.DUMMYFUNCTION("""COMPUTED_VALUE"""),130)</f>
        <v>130</v>
      </c>
      <c r="N15" s="137">
        <f ca="1">IFERROR(__xludf.DUMMYFUNCTION("""COMPUTED_VALUE"""),4)</f>
        <v>4</v>
      </c>
      <c r="O15" s="138">
        <f ca="1">IFERROR(__xludf.DUMMYFUNCTION("""COMPUTED_VALUE"""),415)</f>
        <v>415</v>
      </c>
      <c r="P15" s="139">
        <f ca="1">IFERROR(__xludf.DUMMYFUNCTION("""COMPUTED_VALUE"""),798)</f>
        <v>798</v>
      </c>
      <c r="Q15" s="165"/>
      <c r="R15" s="159"/>
      <c r="S15" s="159"/>
      <c r="T15" s="140">
        <f ca="1">IFERROR(__xludf.DUMMYFUNCTION("""COMPUTED_VALUE"""),232)</f>
        <v>232</v>
      </c>
      <c r="U15" s="140">
        <f ca="1">IFERROR(__xludf.DUMMYFUNCTION("""COMPUTED_VALUE"""),15)</f>
        <v>15</v>
      </c>
      <c r="V15" s="159"/>
      <c r="W15" s="141" t="str">
        <f ca="1">IFERROR(__xludf.DUMMYFUNCTION("""COMPUTED_VALUE"""),"Š")</f>
        <v>Š</v>
      </c>
      <c r="X15" s="141" t="str">
        <f ca="1">IFERROR(__xludf.DUMMYFUNCTION("""COMPUTED_VALUE"""),"R")</f>
        <v>R</v>
      </c>
      <c r="Y15" s="141" t="str">
        <f ca="1">IFERROR(__xludf.DUMMYFUNCTION("""COMPUTED_VALUE"""),"R")</f>
        <v>R</v>
      </c>
      <c r="Z15" s="141" t="str">
        <f ca="1">IFERROR(__xludf.DUMMYFUNCTION("""COMPUTED_VALUE"""),"M")</f>
        <v>M</v>
      </c>
      <c r="AA15" s="8" t="str">
        <f ca="1">IFERROR(__xludf.DUMMYFUNCTION("""COMPUTED_VALUE"""),"M")</f>
        <v>M</v>
      </c>
    </row>
    <row r="16" spans="1:27" ht="12.75" x14ac:dyDescent="0.2">
      <c r="A16" s="172">
        <v>8</v>
      </c>
      <c r="B16" s="127" t="str">
        <f ca="1">IFERROR(__xludf.DUMMYFUNCTION("""COMPUTED_VALUE"""),"Skryja Jakub")</f>
        <v>Skryja Jakub</v>
      </c>
      <c r="C16" s="128" t="str">
        <f ca="1">IFERROR(__xludf.DUMMYFUNCTION("""COMPUTED_VALUE"""),"Nové Město na Moravě")</f>
        <v>Nové Město na Moravě</v>
      </c>
      <c r="D16" s="129">
        <f ca="1">IFERROR(__xludf.DUMMYFUNCTION("""COMPUTED_VALUE"""),131)</f>
        <v>131</v>
      </c>
      <c r="E16" s="130">
        <f ca="1">IFERROR(__xludf.DUMMYFUNCTION("""COMPUTED_VALUE"""),54)</f>
        <v>54</v>
      </c>
      <c r="F16" s="130">
        <f ca="1">IFERROR(__xludf.DUMMYFUNCTION("""COMPUTED_VALUE"""),5)</f>
        <v>5</v>
      </c>
      <c r="G16" s="131">
        <f ca="1">IFERROR(__xludf.DUMMYFUNCTION("""COMPUTED_VALUE"""),185)</f>
        <v>185</v>
      </c>
      <c r="H16" s="129">
        <f ca="1">IFERROR(__xludf.DUMMYFUNCTION("""COMPUTED_VALUE"""),126)</f>
        <v>126</v>
      </c>
      <c r="I16" s="130">
        <f ca="1">IFERROR(__xludf.DUMMYFUNCTION("""COMPUTED_VALUE"""),61)</f>
        <v>61</v>
      </c>
      <c r="J16" s="130">
        <f ca="1">IFERROR(__xludf.DUMMYFUNCTION("""COMPUTED_VALUE"""),4)</f>
        <v>4</v>
      </c>
      <c r="K16" s="131">
        <f ca="1">IFERROR(__xludf.DUMMYFUNCTION("""COMPUTED_VALUE"""),187)</f>
        <v>187</v>
      </c>
      <c r="L16" s="130">
        <f ca="1">IFERROR(__xludf.DUMMYFUNCTION("""COMPUTED_VALUE"""),257)</f>
        <v>257</v>
      </c>
      <c r="M16" s="130">
        <f ca="1">IFERROR(__xludf.DUMMYFUNCTION("""COMPUTED_VALUE"""),115)</f>
        <v>115</v>
      </c>
      <c r="N16" s="130">
        <f ca="1">IFERROR(__xludf.DUMMYFUNCTION("""COMPUTED_VALUE"""),9)</f>
        <v>9</v>
      </c>
      <c r="O16" s="131">
        <f ca="1">IFERROR(__xludf.DUMMYFUNCTION("""COMPUTED_VALUE"""),372)</f>
        <v>372</v>
      </c>
      <c r="P16" s="132">
        <f ca="1">IFERROR(__xludf.DUMMYFUNCTION("""COMPUTED_VALUE"""),795)</f>
        <v>795</v>
      </c>
      <c r="Q16" s="173">
        <f ca="1">IFERROR(__xludf.DUMMYFUNCTION("""COMPUTED_VALUE"""),795)</f>
        <v>795</v>
      </c>
      <c r="R16" s="174">
        <f ca="1">IFERROR(__xludf.DUMMYFUNCTION("""COMPUTED_VALUE"""),249)</f>
        <v>249</v>
      </c>
      <c r="S16" s="174">
        <f ca="1">IFERROR(__xludf.DUMMYFUNCTION("""COMPUTED_VALUE"""),13)</f>
        <v>13</v>
      </c>
      <c r="T16" s="133">
        <f ca="1">IFERROR(__xludf.DUMMYFUNCTION("""COMPUTED_VALUE"""),249)</f>
        <v>249</v>
      </c>
      <c r="U16" s="133">
        <f ca="1">IFERROR(__xludf.DUMMYFUNCTION("""COMPUTED_VALUE"""),13)</f>
        <v>13</v>
      </c>
      <c r="V16" s="175" t="str">
        <f ca="1">IFERROR(__xludf.DUMMYFUNCTION("""COMPUTED_VALUE"""),"Š")</f>
        <v>Š</v>
      </c>
      <c r="W16" s="8" t="str">
        <f ca="1">IFERROR(__xludf.DUMMYFUNCTION("""COMPUTED_VALUE"""),"Š")</f>
        <v>Š</v>
      </c>
      <c r="X16" s="8" t="str">
        <f ca="1">IFERROR(__xludf.DUMMYFUNCTION("""COMPUTED_VALUE"""),"R")</f>
        <v>R</v>
      </c>
      <c r="Y16" s="8" t="str">
        <f ca="1">IFERROR(__xludf.DUMMYFUNCTION("""COMPUTED_VALUE"""),"R")</f>
        <v>R</v>
      </c>
      <c r="Z16" s="8" t="str">
        <f ca="1">IFERROR(__xludf.DUMMYFUNCTION("""COMPUTED_VALUE"""),"M")</f>
        <v>M</v>
      </c>
      <c r="AA16" s="8" t="str">
        <f ca="1">IFERROR(__xludf.DUMMYFUNCTION("""COMPUTED_VALUE"""),"M")</f>
        <v>M</v>
      </c>
    </row>
    <row r="17" spans="1:27" ht="12.75" x14ac:dyDescent="0.2">
      <c r="A17" s="165"/>
      <c r="B17" s="134" t="str">
        <f ca="1">IFERROR(__xludf.DUMMYFUNCTION("""COMPUTED_VALUE"""),"Krejčí Libor")</f>
        <v>Krejčí Libor</v>
      </c>
      <c r="C17" s="135" t="str">
        <f ca="1">IFERROR(__xludf.DUMMYFUNCTION("""COMPUTED_VALUE"""),"KK Zábřeh")</f>
        <v>KK Zábřeh</v>
      </c>
      <c r="D17" s="136">
        <f ca="1">IFERROR(__xludf.DUMMYFUNCTION("""COMPUTED_VALUE"""),144)</f>
        <v>144</v>
      </c>
      <c r="E17" s="137">
        <f ca="1">IFERROR(__xludf.DUMMYFUNCTION("""COMPUTED_VALUE"""),44)</f>
        <v>44</v>
      </c>
      <c r="F17" s="137">
        <f ca="1">IFERROR(__xludf.DUMMYFUNCTION("""COMPUTED_VALUE"""),4)</f>
        <v>4</v>
      </c>
      <c r="G17" s="138">
        <f ca="1">IFERROR(__xludf.DUMMYFUNCTION("""COMPUTED_VALUE"""),188)</f>
        <v>188</v>
      </c>
      <c r="H17" s="136">
        <f ca="1">IFERROR(__xludf.DUMMYFUNCTION("""COMPUTED_VALUE"""),150)</f>
        <v>150</v>
      </c>
      <c r="I17" s="137">
        <f ca="1">IFERROR(__xludf.DUMMYFUNCTION("""COMPUTED_VALUE"""),52)</f>
        <v>52</v>
      </c>
      <c r="J17" s="137">
        <f ca="1">IFERROR(__xludf.DUMMYFUNCTION("""COMPUTED_VALUE"""),6)</f>
        <v>6</v>
      </c>
      <c r="K17" s="138">
        <f ca="1">IFERROR(__xludf.DUMMYFUNCTION("""COMPUTED_VALUE"""),202)</f>
        <v>202</v>
      </c>
      <c r="L17" s="137">
        <f ca="1">IFERROR(__xludf.DUMMYFUNCTION("""COMPUTED_VALUE"""),294)</f>
        <v>294</v>
      </c>
      <c r="M17" s="137">
        <f ca="1">IFERROR(__xludf.DUMMYFUNCTION("""COMPUTED_VALUE"""),96)</f>
        <v>96</v>
      </c>
      <c r="N17" s="137">
        <f ca="1">IFERROR(__xludf.DUMMYFUNCTION("""COMPUTED_VALUE"""),10)</f>
        <v>10</v>
      </c>
      <c r="O17" s="138">
        <f ca="1">IFERROR(__xludf.DUMMYFUNCTION("""COMPUTED_VALUE"""),390)</f>
        <v>390</v>
      </c>
      <c r="P17" s="139">
        <f ca="1">IFERROR(__xludf.DUMMYFUNCTION("""COMPUTED_VALUE"""),794)</f>
        <v>794</v>
      </c>
      <c r="Q17" s="165"/>
      <c r="R17" s="159"/>
      <c r="S17" s="159"/>
      <c r="T17" s="140">
        <f ca="1">IFERROR(__xludf.DUMMYFUNCTION("""COMPUTED_VALUE"""),209)</f>
        <v>209</v>
      </c>
      <c r="U17" s="140">
        <f ca="1">IFERROR(__xludf.DUMMYFUNCTION("""COMPUTED_VALUE"""),19)</f>
        <v>19</v>
      </c>
      <c r="V17" s="159"/>
      <c r="W17" s="141" t="str">
        <f ca="1">IFERROR(__xludf.DUMMYFUNCTION("""COMPUTED_VALUE"""),"Š")</f>
        <v>Š</v>
      </c>
      <c r="X17" s="141" t="str">
        <f ca="1">IFERROR(__xludf.DUMMYFUNCTION("""COMPUTED_VALUE"""),"R")</f>
        <v>R</v>
      </c>
      <c r="Y17" s="141" t="str">
        <f ca="1">IFERROR(__xludf.DUMMYFUNCTION("""COMPUTED_VALUE"""),"R")</f>
        <v>R</v>
      </c>
      <c r="Z17" s="141" t="str">
        <f ca="1">IFERROR(__xludf.DUMMYFUNCTION("""COMPUTED_VALUE"""),"M")</f>
        <v>M</v>
      </c>
      <c r="AA17" s="8" t="str">
        <f ca="1">IFERROR(__xludf.DUMMYFUNCTION("""COMPUTED_VALUE"""),"M")</f>
        <v>M</v>
      </c>
    </row>
    <row r="18" spans="1:27" ht="12.75" x14ac:dyDescent="0.2">
      <c r="A18" s="172">
        <v>9</v>
      </c>
      <c r="B18" s="127" t="str">
        <f ca="1">IFERROR(__xludf.DUMMYFUNCTION("""COMPUTED_VALUE"""),"Zavřel Sebastián")</f>
        <v>Zavřel Sebastián</v>
      </c>
      <c r="C18" s="128" t="str">
        <f ca="1">IFERROR(__xludf.DUMMYFUNCTION("""COMPUTED_VALUE"""),"TJ Start Jihlava")</f>
        <v>TJ Start Jihlava</v>
      </c>
      <c r="D18" s="129">
        <f ca="1">IFERROR(__xludf.DUMMYFUNCTION("""COMPUTED_VALUE"""),146)</f>
        <v>146</v>
      </c>
      <c r="E18" s="130">
        <f ca="1">IFERROR(__xludf.DUMMYFUNCTION("""COMPUTED_VALUE"""),44)</f>
        <v>44</v>
      </c>
      <c r="F18" s="130">
        <f ca="1">IFERROR(__xludf.DUMMYFUNCTION("""COMPUTED_VALUE"""),6)</f>
        <v>6</v>
      </c>
      <c r="G18" s="131">
        <f ca="1">IFERROR(__xludf.DUMMYFUNCTION("""COMPUTED_VALUE"""),190)</f>
        <v>190</v>
      </c>
      <c r="H18" s="129">
        <f ca="1">IFERROR(__xludf.DUMMYFUNCTION("""COMPUTED_VALUE"""),147)</f>
        <v>147</v>
      </c>
      <c r="I18" s="130">
        <f ca="1">IFERROR(__xludf.DUMMYFUNCTION("""COMPUTED_VALUE"""),61)</f>
        <v>61</v>
      </c>
      <c r="J18" s="130">
        <f ca="1">IFERROR(__xludf.DUMMYFUNCTION("""COMPUTED_VALUE"""),3)</f>
        <v>3</v>
      </c>
      <c r="K18" s="131">
        <f ca="1">IFERROR(__xludf.DUMMYFUNCTION("""COMPUTED_VALUE"""),208)</f>
        <v>208</v>
      </c>
      <c r="L18" s="130">
        <f ca="1">IFERROR(__xludf.DUMMYFUNCTION("""COMPUTED_VALUE"""),293)</f>
        <v>293</v>
      </c>
      <c r="M18" s="130">
        <f ca="1">IFERROR(__xludf.DUMMYFUNCTION("""COMPUTED_VALUE"""),105)</f>
        <v>105</v>
      </c>
      <c r="N18" s="130">
        <f ca="1">IFERROR(__xludf.DUMMYFUNCTION("""COMPUTED_VALUE"""),9)</f>
        <v>9</v>
      </c>
      <c r="O18" s="131">
        <f ca="1">IFERROR(__xludf.DUMMYFUNCTION("""COMPUTED_VALUE"""),398)</f>
        <v>398</v>
      </c>
      <c r="P18" s="132">
        <f ca="1">IFERROR(__xludf.DUMMYFUNCTION("""COMPUTED_VALUE"""),787)</f>
        <v>787</v>
      </c>
      <c r="Q18" s="173">
        <f ca="1">IFERROR(__xludf.DUMMYFUNCTION("""COMPUTED_VALUE"""),787)</f>
        <v>787</v>
      </c>
      <c r="R18" s="174">
        <f ca="1">IFERROR(__xludf.DUMMYFUNCTION("""COMPUTED_VALUE"""),221)</f>
        <v>221</v>
      </c>
      <c r="S18" s="174">
        <f ca="1">IFERROR(__xludf.DUMMYFUNCTION("""COMPUTED_VALUE"""),24)</f>
        <v>24</v>
      </c>
      <c r="T18" s="133">
        <f ca="1">IFERROR(__xludf.DUMMYFUNCTION("""COMPUTED_VALUE"""),221)</f>
        <v>221</v>
      </c>
      <c r="U18" s="133">
        <f ca="1">IFERROR(__xludf.DUMMYFUNCTION("""COMPUTED_VALUE"""),24)</f>
        <v>24</v>
      </c>
      <c r="V18" s="175" t="str">
        <f ca="1">IFERROR(__xludf.DUMMYFUNCTION("""COMPUTED_VALUE"""),"TV")</f>
        <v>TV</v>
      </c>
      <c r="W18" s="8" t="str">
        <f ca="1">IFERROR(__xludf.DUMMYFUNCTION("""COMPUTED_VALUE"""),"TV")</f>
        <v>TV</v>
      </c>
      <c r="X18" s="8" t="str">
        <f ca="1">IFERROR(__xludf.DUMMYFUNCTION("""COMPUTED_VALUE"""),"R")</f>
        <v>R</v>
      </c>
      <c r="Y18" s="8" t="str">
        <f ca="1">IFERROR(__xludf.DUMMYFUNCTION("""COMPUTED_VALUE"""),"R")</f>
        <v>R</v>
      </c>
      <c r="Z18" s="8" t="str">
        <f ca="1">IFERROR(__xludf.DUMMYFUNCTION("""COMPUTED_VALUE"""),"M")</f>
        <v>M</v>
      </c>
      <c r="AA18" s="8" t="str">
        <f ca="1">IFERROR(__xludf.DUMMYFUNCTION("""COMPUTED_VALUE"""),"M")</f>
        <v>M</v>
      </c>
    </row>
    <row r="19" spans="1:27" ht="12.75" x14ac:dyDescent="0.2">
      <c r="A19" s="165"/>
      <c r="B19" s="134" t="str">
        <f ca="1">IFERROR(__xludf.DUMMYFUNCTION("""COMPUTED_VALUE"""),"Švehlík Zdeněk")</f>
        <v>Švehlík Zdeněk</v>
      </c>
      <c r="C19" s="135" t="str">
        <f ca="1">IFERROR(__xludf.DUMMYFUNCTION("""COMPUTED_VALUE"""),"TJ Start Jihlava")</f>
        <v>TJ Start Jihlava</v>
      </c>
      <c r="D19" s="136">
        <f ca="1">IFERROR(__xludf.DUMMYFUNCTION("""COMPUTED_VALUE"""),130)</f>
        <v>130</v>
      </c>
      <c r="E19" s="137">
        <f ca="1">IFERROR(__xludf.DUMMYFUNCTION("""COMPUTED_VALUE"""),44)</f>
        <v>44</v>
      </c>
      <c r="F19" s="137">
        <f ca="1">IFERROR(__xludf.DUMMYFUNCTION("""COMPUTED_VALUE"""),5)</f>
        <v>5</v>
      </c>
      <c r="G19" s="138">
        <f ca="1">IFERROR(__xludf.DUMMYFUNCTION("""COMPUTED_VALUE"""),174)</f>
        <v>174</v>
      </c>
      <c r="H19" s="136">
        <f ca="1">IFERROR(__xludf.DUMMYFUNCTION("""COMPUTED_VALUE"""),142)</f>
        <v>142</v>
      </c>
      <c r="I19" s="137">
        <f ca="1">IFERROR(__xludf.DUMMYFUNCTION("""COMPUTED_VALUE"""),54)</f>
        <v>54</v>
      </c>
      <c r="J19" s="137">
        <f ca="1">IFERROR(__xludf.DUMMYFUNCTION("""COMPUTED_VALUE"""),6)</f>
        <v>6</v>
      </c>
      <c r="K19" s="138">
        <f ca="1">IFERROR(__xludf.DUMMYFUNCTION("""COMPUTED_VALUE"""),196)</f>
        <v>196</v>
      </c>
      <c r="L19" s="137">
        <f ca="1">IFERROR(__xludf.DUMMYFUNCTION("""COMPUTED_VALUE"""),272)</f>
        <v>272</v>
      </c>
      <c r="M19" s="137">
        <f ca="1">IFERROR(__xludf.DUMMYFUNCTION("""COMPUTED_VALUE"""),98)</f>
        <v>98</v>
      </c>
      <c r="N19" s="137">
        <f ca="1">IFERROR(__xludf.DUMMYFUNCTION("""COMPUTED_VALUE"""),11)</f>
        <v>11</v>
      </c>
      <c r="O19" s="138">
        <f ca="1">IFERROR(__xludf.DUMMYFUNCTION("""COMPUTED_VALUE"""),370)</f>
        <v>370</v>
      </c>
      <c r="P19" s="139">
        <f ca="1">IFERROR(__xludf.DUMMYFUNCTION("""COMPUTED_VALUE"""),786)</f>
        <v>786</v>
      </c>
      <c r="Q19" s="165"/>
      <c r="R19" s="159"/>
      <c r="S19" s="159"/>
      <c r="T19" s="140">
        <f ca="1">IFERROR(__xludf.DUMMYFUNCTION("""COMPUTED_VALUE"""),225)</f>
        <v>225</v>
      </c>
      <c r="U19" s="140">
        <f ca="1">IFERROR(__xludf.DUMMYFUNCTION("""COMPUTED_VALUE"""),13)</f>
        <v>13</v>
      </c>
      <c r="V19" s="159"/>
      <c r="W19" s="141" t="str">
        <f ca="1">IFERROR(__xludf.DUMMYFUNCTION("""COMPUTED_VALUE"""),"TV")</f>
        <v>TV</v>
      </c>
      <c r="X19" s="141" t="str">
        <f ca="1">IFERROR(__xludf.DUMMYFUNCTION("""COMPUTED_VALUE"""),"R")</f>
        <v>R</v>
      </c>
      <c r="Y19" s="141" t="str">
        <f ca="1">IFERROR(__xludf.DUMMYFUNCTION("""COMPUTED_VALUE"""),"R")</f>
        <v>R</v>
      </c>
      <c r="Z19" s="141" t="str">
        <f ca="1">IFERROR(__xludf.DUMMYFUNCTION("""COMPUTED_VALUE"""),"M")</f>
        <v>M</v>
      </c>
      <c r="AA19" s="8" t="str">
        <f ca="1">IFERROR(__xludf.DUMMYFUNCTION("""COMPUTED_VALUE"""),"M")</f>
        <v>M</v>
      </c>
    </row>
    <row r="20" spans="1:27" ht="12.75" x14ac:dyDescent="0.2">
      <c r="A20" s="172">
        <v>10</v>
      </c>
      <c r="B20" s="127" t="str">
        <f ca="1">IFERROR(__xludf.DUMMYFUNCTION("""COMPUTED_VALUE"""),"Benda Jaroslav")</f>
        <v>Benda Jaroslav</v>
      </c>
      <c r="C20" s="128" t="str">
        <f ca="1">IFERROR(__xludf.DUMMYFUNCTION("""COMPUTED_VALUE"""),"TJ Spartak Pelhrimov")</f>
        <v>TJ Spartak Pelhrimov</v>
      </c>
      <c r="D20" s="129">
        <f ca="1">IFERROR(__xludf.DUMMYFUNCTION("""COMPUTED_VALUE"""),131)</f>
        <v>131</v>
      </c>
      <c r="E20" s="130">
        <f ca="1">IFERROR(__xludf.DUMMYFUNCTION("""COMPUTED_VALUE"""),53)</f>
        <v>53</v>
      </c>
      <c r="F20" s="130">
        <f ca="1">IFERROR(__xludf.DUMMYFUNCTION("""COMPUTED_VALUE"""),5)</f>
        <v>5</v>
      </c>
      <c r="G20" s="131">
        <f ca="1">IFERROR(__xludf.DUMMYFUNCTION("""COMPUTED_VALUE"""),184)</f>
        <v>184</v>
      </c>
      <c r="H20" s="129">
        <f ca="1">IFERROR(__xludf.DUMMYFUNCTION("""COMPUTED_VALUE"""),143)</f>
        <v>143</v>
      </c>
      <c r="I20" s="130">
        <f ca="1">IFERROR(__xludf.DUMMYFUNCTION("""COMPUTED_VALUE"""),53)</f>
        <v>53</v>
      </c>
      <c r="J20" s="130">
        <f ca="1">IFERROR(__xludf.DUMMYFUNCTION("""COMPUTED_VALUE"""),7)</f>
        <v>7</v>
      </c>
      <c r="K20" s="131">
        <f ca="1">IFERROR(__xludf.DUMMYFUNCTION("""COMPUTED_VALUE"""),196)</f>
        <v>196</v>
      </c>
      <c r="L20" s="130">
        <f ca="1">IFERROR(__xludf.DUMMYFUNCTION("""COMPUTED_VALUE"""),274)</f>
        <v>274</v>
      </c>
      <c r="M20" s="130">
        <f ca="1">IFERROR(__xludf.DUMMYFUNCTION("""COMPUTED_VALUE"""),106)</f>
        <v>106</v>
      </c>
      <c r="N20" s="130">
        <f ca="1">IFERROR(__xludf.DUMMYFUNCTION("""COMPUTED_VALUE"""),12)</f>
        <v>12</v>
      </c>
      <c r="O20" s="131">
        <f ca="1">IFERROR(__xludf.DUMMYFUNCTION("""COMPUTED_VALUE"""),380)</f>
        <v>380</v>
      </c>
      <c r="P20" s="132">
        <f ca="1">IFERROR(__xludf.DUMMYFUNCTION("""COMPUTED_VALUE"""),784)</f>
        <v>784</v>
      </c>
      <c r="Q20" s="173">
        <f ca="1">IFERROR(__xludf.DUMMYFUNCTION("""COMPUTED_VALUE"""),784)</f>
        <v>784</v>
      </c>
      <c r="R20" s="174">
        <f ca="1">IFERROR(__xludf.DUMMYFUNCTION("""COMPUTED_VALUE"""),229)</f>
        <v>229</v>
      </c>
      <c r="S20" s="174">
        <f ca="1">IFERROR(__xludf.DUMMYFUNCTION("""COMPUTED_VALUE"""),19)</f>
        <v>19</v>
      </c>
      <c r="T20" s="133">
        <f ca="1">IFERROR(__xludf.DUMMYFUNCTION("""COMPUTED_VALUE"""),229)</f>
        <v>229</v>
      </c>
      <c r="U20" s="133">
        <f ca="1">IFERROR(__xludf.DUMMYFUNCTION("""COMPUTED_VALUE"""),19)</f>
        <v>19</v>
      </c>
      <c r="V20" s="175" t="str">
        <f ca="1">IFERROR(__xludf.DUMMYFUNCTION("""COMPUTED_VALUE"""),"TV")</f>
        <v>TV</v>
      </c>
      <c r="W20" s="8" t="str">
        <f ca="1">IFERROR(__xludf.DUMMYFUNCTION("""COMPUTED_VALUE"""),"TV")</f>
        <v>TV</v>
      </c>
      <c r="X20" s="8" t="str">
        <f ca="1">IFERROR(__xludf.DUMMYFUNCTION("""COMPUTED_VALUE"""),"R")</f>
        <v>R</v>
      </c>
      <c r="Y20" s="8" t="str">
        <f ca="1">IFERROR(__xludf.DUMMYFUNCTION("""COMPUTED_VALUE"""),"R")</f>
        <v>R</v>
      </c>
      <c r="Z20" s="8" t="str">
        <f ca="1">IFERROR(__xludf.DUMMYFUNCTION("""COMPUTED_VALUE"""),"M")</f>
        <v>M</v>
      </c>
      <c r="AA20" s="8" t="str">
        <f ca="1">IFERROR(__xludf.DUMMYFUNCTION("""COMPUTED_VALUE"""),"M")</f>
        <v>M</v>
      </c>
    </row>
    <row r="21" spans="1:27" ht="12.75" x14ac:dyDescent="0.2">
      <c r="A21" s="165"/>
      <c r="B21" s="134" t="str">
        <f ca="1">IFERROR(__xludf.DUMMYFUNCTION("""COMPUTED_VALUE"""),"Kovařík Václav st.")</f>
        <v>Kovařík Václav st.</v>
      </c>
      <c r="C21" s="135" t="str">
        <f ca="1">IFERROR(__xludf.DUMMYFUNCTION("""COMPUTED_VALUE"""),"TJ Prostějov")</f>
        <v>TJ Prostějov</v>
      </c>
      <c r="D21" s="136">
        <f ca="1">IFERROR(__xludf.DUMMYFUNCTION("""COMPUTED_VALUE"""),142)</f>
        <v>142</v>
      </c>
      <c r="E21" s="137">
        <f ca="1">IFERROR(__xludf.DUMMYFUNCTION("""COMPUTED_VALUE"""),53)</f>
        <v>53</v>
      </c>
      <c r="F21" s="137">
        <f ca="1">IFERROR(__xludf.DUMMYFUNCTION("""COMPUTED_VALUE"""),7)</f>
        <v>7</v>
      </c>
      <c r="G21" s="138">
        <f ca="1">IFERROR(__xludf.DUMMYFUNCTION("""COMPUTED_VALUE"""),195)</f>
        <v>195</v>
      </c>
      <c r="H21" s="136">
        <f ca="1">IFERROR(__xludf.DUMMYFUNCTION("""COMPUTED_VALUE"""),121)</f>
        <v>121</v>
      </c>
      <c r="I21" s="137">
        <f ca="1">IFERROR(__xludf.DUMMYFUNCTION("""COMPUTED_VALUE"""),54)</f>
        <v>54</v>
      </c>
      <c r="J21" s="137">
        <f ca="1">IFERROR(__xludf.DUMMYFUNCTION("""COMPUTED_VALUE"""),5)</f>
        <v>5</v>
      </c>
      <c r="K21" s="138">
        <f ca="1">IFERROR(__xludf.DUMMYFUNCTION("""COMPUTED_VALUE"""),175)</f>
        <v>175</v>
      </c>
      <c r="L21" s="137">
        <f ca="1">IFERROR(__xludf.DUMMYFUNCTION("""COMPUTED_VALUE"""),263)</f>
        <v>263</v>
      </c>
      <c r="M21" s="137">
        <f ca="1">IFERROR(__xludf.DUMMYFUNCTION("""COMPUTED_VALUE"""),107)</f>
        <v>107</v>
      </c>
      <c r="N21" s="137">
        <f ca="1">IFERROR(__xludf.DUMMYFUNCTION("""COMPUTED_VALUE"""),12)</f>
        <v>12</v>
      </c>
      <c r="O21" s="138">
        <f ca="1">IFERROR(__xludf.DUMMYFUNCTION("""COMPUTED_VALUE"""),370)</f>
        <v>370</v>
      </c>
      <c r="P21" s="139">
        <f ca="1">IFERROR(__xludf.DUMMYFUNCTION("""COMPUTED_VALUE"""),782)</f>
        <v>782</v>
      </c>
      <c r="Q21" s="165"/>
      <c r="R21" s="159"/>
      <c r="S21" s="159"/>
      <c r="T21" s="140">
        <f ca="1">IFERROR(__xludf.DUMMYFUNCTION("""COMPUTED_VALUE"""),230)</f>
        <v>230</v>
      </c>
      <c r="U21" s="140">
        <f ca="1">IFERROR(__xludf.DUMMYFUNCTION("""COMPUTED_VALUE"""),18)</f>
        <v>18</v>
      </c>
      <c r="V21" s="159"/>
      <c r="W21" s="141" t="str">
        <f ca="1">IFERROR(__xludf.DUMMYFUNCTION("""COMPUTED_VALUE"""),"Š")</f>
        <v>Š</v>
      </c>
      <c r="X21" s="141" t="str">
        <f ca="1">IFERROR(__xludf.DUMMYFUNCTION("""COMPUTED_VALUE"""),"R")</f>
        <v>R</v>
      </c>
      <c r="Y21" s="141" t="str">
        <f ca="1">IFERROR(__xludf.DUMMYFUNCTION("""COMPUTED_VALUE"""),"R")</f>
        <v>R</v>
      </c>
      <c r="Z21" s="141" t="str">
        <f ca="1">IFERROR(__xludf.DUMMYFUNCTION("""COMPUTED_VALUE"""),"M")</f>
        <v>M</v>
      </c>
      <c r="AA21" s="8" t="str">
        <f ca="1">IFERROR(__xludf.DUMMYFUNCTION("""COMPUTED_VALUE"""),"M")</f>
        <v>M</v>
      </c>
    </row>
    <row r="22" spans="1:27" ht="12.75" x14ac:dyDescent="0.2">
      <c r="A22" s="172">
        <v>11</v>
      </c>
      <c r="B22" s="127" t="str">
        <f ca="1">IFERROR(__xludf.DUMMYFUNCTION("""COMPUTED_VALUE"""),"Svojanovský Roman")</f>
        <v>Svojanovský Roman</v>
      </c>
      <c r="C22" s="128" t="str">
        <f ca="1">IFERROR(__xludf.DUMMYFUNCTION("""COMPUTED_VALUE"""),"Nové Město na Moravě")</f>
        <v>Nové Město na Moravě</v>
      </c>
      <c r="D22" s="129">
        <f ca="1">IFERROR(__xludf.DUMMYFUNCTION("""COMPUTED_VALUE"""),145)</f>
        <v>145</v>
      </c>
      <c r="E22" s="130">
        <f ca="1">IFERROR(__xludf.DUMMYFUNCTION("""COMPUTED_VALUE"""),59)</f>
        <v>59</v>
      </c>
      <c r="F22" s="130">
        <f ca="1">IFERROR(__xludf.DUMMYFUNCTION("""COMPUTED_VALUE"""),4)</f>
        <v>4</v>
      </c>
      <c r="G22" s="131">
        <f ca="1">IFERROR(__xludf.DUMMYFUNCTION("""COMPUTED_VALUE"""),204)</f>
        <v>204</v>
      </c>
      <c r="H22" s="129">
        <f ca="1">IFERROR(__xludf.DUMMYFUNCTION("""COMPUTED_VALUE"""),147)</f>
        <v>147</v>
      </c>
      <c r="I22" s="130">
        <f ca="1">IFERROR(__xludf.DUMMYFUNCTION("""COMPUTED_VALUE"""),63)</f>
        <v>63</v>
      </c>
      <c r="J22" s="130">
        <f ca="1">IFERROR(__xludf.DUMMYFUNCTION("""COMPUTED_VALUE"""),1)</f>
        <v>1</v>
      </c>
      <c r="K22" s="131">
        <f ca="1">IFERROR(__xludf.DUMMYFUNCTION("""COMPUTED_VALUE"""),210)</f>
        <v>210</v>
      </c>
      <c r="L22" s="130">
        <f ca="1">IFERROR(__xludf.DUMMYFUNCTION("""COMPUTED_VALUE"""),292)</f>
        <v>292</v>
      </c>
      <c r="M22" s="130">
        <f ca="1">IFERROR(__xludf.DUMMYFUNCTION("""COMPUTED_VALUE"""),122)</f>
        <v>122</v>
      </c>
      <c r="N22" s="130">
        <f ca="1">IFERROR(__xludf.DUMMYFUNCTION("""COMPUTED_VALUE"""),5)</f>
        <v>5</v>
      </c>
      <c r="O22" s="131">
        <f ca="1">IFERROR(__xludf.DUMMYFUNCTION("""COMPUTED_VALUE"""),414)</f>
        <v>414</v>
      </c>
      <c r="P22" s="132">
        <f ca="1">IFERROR(__xludf.DUMMYFUNCTION("""COMPUTED_VALUE"""),778)</f>
        <v>778</v>
      </c>
      <c r="Q22" s="173">
        <f ca="1">IFERROR(__xludf.DUMMYFUNCTION("""COMPUTED_VALUE"""),778)</f>
        <v>778</v>
      </c>
      <c r="R22" s="174">
        <f ca="1">IFERROR(__xludf.DUMMYFUNCTION("""COMPUTED_VALUE"""),207)</f>
        <v>207</v>
      </c>
      <c r="S22" s="174">
        <f ca="1">IFERROR(__xludf.DUMMYFUNCTION("""COMPUTED_VALUE"""),19)</f>
        <v>19</v>
      </c>
      <c r="T22" s="133">
        <f ca="1">IFERROR(__xludf.DUMMYFUNCTION("""COMPUTED_VALUE"""),207)</f>
        <v>207</v>
      </c>
      <c r="U22" s="133">
        <f ca="1">IFERROR(__xludf.DUMMYFUNCTION("""COMPUTED_VALUE"""),19)</f>
        <v>19</v>
      </c>
      <c r="V22" s="175" t="str">
        <f ca="1">IFERROR(__xludf.DUMMYFUNCTION("""COMPUTED_VALUE"""),"Š")</f>
        <v>Š</v>
      </c>
      <c r="W22" s="8" t="str">
        <f ca="1">IFERROR(__xludf.DUMMYFUNCTION("""COMPUTED_VALUE"""),"Š")</f>
        <v>Š</v>
      </c>
      <c r="X22" s="8" t="str">
        <f ca="1">IFERROR(__xludf.DUMMYFUNCTION("""COMPUTED_VALUE"""),"R")</f>
        <v>R</v>
      </c>
      <c r="Y22" s="8" t="str">
        <f ca="1">IFERROR(__xludf.DUMMYFUNCTION("""COMPUTED_VALUE"""),"R")</f>
        <v>R</v>
      </c>
      <c r="Z22" s="8" t="str">
        <f ca="1">IFERROR(__xludf.DUMMYFUNCTION("""COMPUTED_VALUE"""),"M")</f>
        <v>M</v>
      </c>
      <c r="AA22" s="8" t="str">
        <f ca="1">IFERROR(__xludf.DUMMYFUNCTION("""COMPUTED_VALUE"""),"M")</f>
        <v>M</v>
      </c>
    </row>
    <row r="23" spans="1:27" ht="12.75" x14ac:dyDescent="0.2">
      <c r="A23" s="165"/>
      <c r="B23" s="134" t="str">
        <f ca="1">IFERROR(__xludf.DUMMYFUNCTION("""COMPUTED_VALUE"""),"Černohous Jan")</f>
        <v>Černohous Jan</v>
      </c>
      <c r="C23" s="135" t="str">
        <f ca="1">IFERROR(__xludf.DUMMYFUNCTION("""COMPUTED_VALUE"""),"TJ Prostějov")</f>
        <v>TJ Prostějov</v>
      </c>
      <c r="D23" s="136">
        <f ca="1">IFERROR(__xludf.DUMMYFUNCTION("""COMPUTED_VALUE"""),146)</f>
        <v>146</v>
      </c>
      <c r="E23" s="137">
        <f ca="1">IFERROR(__xludf.DUMMYFUNCTION("""COMPUTED_VALUE"""),51)</f>
        <v>51</v>
      </c>
      <c r="F23" s="137">
        <f ca="1">IFERROR(__xludf.DUMMYFUNCTION("""COMPUTED_VALUE"""),7)</f>
        <v>7</v>
      </c>
      <c r="G23" s="138">
        <f ca="1">IFERROR(__xludf.DUMMYFUNCTION("""COMPUTED_VALUE"""),197)</f>
        <v>197</v>
      </c>
      <c r="H23" s="136">
        <f ca="1">IFERROR(__xludf.DUMMYFUNCTION("""COMPUTED_VALUE"""),134)</f>
        <v>134</v>
      </c>
      <c r="I23" s="137">
        <f ca="1">IFERROR(__xludf.DUMMYFUNCTION("""COMPUTED_VALUE"""),62)</f>
        <v>62</v>
      </c>
      <c r="J23" s="137">
        <f ca="1">IFERROR(__xludf.DUMMYFUNCTION("""COMPUTED_VALUE"""),4)</f>
        <v>4</v>
      </c>
      <c r="K23" s="138">
        <f ca="1">IFERROR(__xludf.DUMMYFUNCTION("""COMPUTED_VALUE"""),196)</f>
        <v>196</v>
      </c>
      <c r="L23" s="137">
        <f ca="1">IFERROR(__xludf.DUMMYFUNCTION("""COMPUTED_VALUE"""),280)</f>
        <v>280</v>
      </c>
      <c r="M23" s="137">
        <f ca="1">IFERROR(__xludf.DUMMYFUNCTION("""COMPUTED_VALUE"""),113)</f>
        <v>113</v>
      </c>
      <c r="N23" s="137">
        <f ca="1">IFERROR(__xludf.DUMMYFUNCTION("""COMPUTED_VALUE"""),11)</f>
        <v>11</v>
      </c>
      <c r="O23" s="138">
        <f ca="1">IFERROR(__xludf.DUMMYFUNCTION("""COMPUTED_VALUE"""),393)</f>
        <v>393</v>
      </c>
      <c r="P23" s="139">
        <f ca="1">IFERROR(__xludf.DUMMYFUNCTION("""COMPUTED_VALUE"""),777)</f>
        <v>777</v>
      </c>
      <c r="Q23" s="165"/>
      <c r="R23" s="159"/>
      <c r="S23" s="159"/>
      <c r="T23" s="140">
        <f ca="1">IFERROR(__xludf.DUMMYFUNCTION("""COMPUTED_VALUE"""),220)</f>
        <v>220</v>
      </c>
      <c r="U23" s="140">
        <f ca="1">IFERROR(__xludf.DUMMYFUNCTION("""COMPUTED_VALUE"""),24)</f>
        <v>24</v>
      </c>
      <c r="V23" s="159"/>
      <c r="W23" s="141" t="str">
        <f ca="1">IFERROR(__xludf.DUMMYFUNCTION("""COMPUTED_VALUE"""),"Š")</f>
        <v>Š</v>
      </c>
      <c r="X23" s="141" t="str">
        <f ca="1">IFERROR(__xludf.DUMMYFUNCTION("""COMPUTED_VALUE"""),"R")</f>
        <v>R</v>
      </c>
      <c r="Y23" s="141" t="str">
        <f ca="1">IFERROR(__xludf.DUMMYFUNCTION("""COMPUTED_VALUE"""),"R")</f>
        <v>R</v>
      </c>
      <c r="Z23" s="141" t="str">
        <f ca="1">IFERROR(__xludf.DUMMYFUNCTION("""COMPUTED_VALUE"""),"M")</f>
        <v>M</v>
      </c>
      <c r="AA23" s="8" t="str">
        <f ca="1">IFERROR(__xludf.DUMMYFUNCTION("""COMPUTED_VALUE"""),"M")</f>
        <v>M</v>
      </c>
    </row>
    <row r="24" spans="1:27" ht="12.75" x14ac:dyDescent="0.2">
      <c r="A24" s="172">
        <v>12</v>
      </c>
      <c r="B24" s="127" t="str">
        <f ca="1">IFERROR(__xludf.DUMMYFUNCTION("""COMPUTED_VALUE"""),"Šikula Petr")</f>
        <v>Šikula Petr</v>
      </c>
      <c r="C24" s="128" t="str">
        <f ca="1">IFERROR(__xludf.DUMMYFUNCTION("""COMPUTED_VALUE"""),"Nové Město na Moravě")</f>
        <v>Nové Město na Moravě</v>
      </c>
      <c r="D24" s="129">
        <f ca="1">IFERROR(__xludf.DUMMYFUNCTION("""COMPUTED_VALUE"""),143)</f>
        <v>143</v>
      </c>
      <c r="E24" s="130">
        <f ca="1">IFERROR(__xludf.DUMMYFUNCTION("""COMPUTED_VALUE"""),70)</f>
        <v>70</v>
      </c>
      <c r="F24" s="130">
        <f ca="1">IFERROR(__xludf.DUMMYFUNCTION("""COMPUTED_VALUE"""),2)</f>
        <v>2</v>
      </c>
      <c r="G24" s="131">
        <f ca="1">IFERROR(__xludf.DUMMYFUNCTION("""COMPUTED_VALUE"""),213)</f>
        <v>213</v>
      </c>
      <c r="H24" s="129">
        <f ca="1">IFERROR(__xludf.DUMMYFUNCTION("""COMPUTED_VALUE"""),143)</f>
        <v>143</v>
      </c>
      <c r="I24" s="130">
        <f ca="1">IFERROR(__xludf.DUMMYFUNCTION("""COMPUTED_VALUE"""),52)</f>
        <v>52</v>
      </c>
      <c r="J24" s="130">
        <f ca="1">IFERROR(__xludf.DUMMYFUNCTION("""COMPUTED_VALUE"""),6)</f>
        <v>6</v>
      </c>
      <c r="K24" s="131">
        <f ca="1">IFERROR(__xludf.DUMMYFUNCTION("""COMPUTED_VALUE"""),195)</f>
        <v>195</v>
      </c>
      <c r="L24" s="130">
        <f ca="1">IFERROR(__xludf.DUMMYFUNCTION("""COMPUTED_VALUE"""),286)</f>
        <v>286</v>
      </c>
      <c r="M24" s="130">
        <f ca="1">IFERROR(__xludf.DUMMYFUNCTION("""COMPUTED_VALUE"""),122)</f>
        <v>122</v>
      </c>
      <c r="N24" s="130">
        <f ca="1">IFERROR(__xludf.DUMMYFUNCTION("""COMPUTED_VALUE"""),8)</f>
        <v>8</v>
      </c>
      <c r="O24" s="131">
        <f ca="1">IFERROR(__xludf.DUMMYFUNCTION("""COMPUTED_VALUE"""),408)</f>
        <v>408</v>
      </c>
      <c r="P24" s="132">
        <f ca="1">IFERROR(__xludf.DUMMYFUNCTION("""COMPUTED_VALUE"""),769)</f>
        <v>769</v>
      </c>
      <c r="Q24" s="173">
        <f ca="1">IFERROR(__xludf.DUMMYFUNCTION("""COMPUTED_VALUE"""),769)</f>
        <v>769</v>
      </c>
      <c r="R24" s="174">
        <f ca="1">IFERROR(__xludf.DUMMYFUNCTION("""COMPUTED_VALUE"""),225)</f>
        <v>225</v>
      </c>
      <c r="S24" s="174">
        <f ca="1">IFERROR(__xludf.DUMMYFUNCTION("""COMPUTED_VALUE"""),20)</f>
        <v>20</v>
      </c>
      <c r="T24" s="133">
        <f ca="1">IFERROR(__xludf.DUMMYFUNCTION("""COMPUTED_VALUE"""),225)</f>
        <v>225</v>
      </c>
      <c r="U24" s="133">
        <f ca="1">IFERROR(__xludf.DUMMYFUNCTION("""COMPUTED_VALUE"""),20)</f>
        <v>20</v>
      </c>
      <c r="V24" s="175" t="str">
        <f ca="1">IFERROR(__xludf.DUMMYFUNCTION("""COMPUTED_VALUE"""),"Š")</f>
        <v>Š</v>
      </c>
      <c r="W24" s="8" t="str">
        <f ca="1">IFERROR(__xludf.DUMMYFUNCTION("""COMPUTED_VALUE"""),"Š")</f>
        <v>Š</v>
      </c>
      <c r="X24" s="8" t="str">
        <f ca="1">IFERROR(__xludf.DUMMYFUNCTION("""COMPUTED_VALUE"""),"R")</f>
        <v>R</v>
      </c>
      <c r="Y24" s="8" t="str">
        <f ca="1">IFERROR(__xludf.DUMMYFUNCTION("""COMPUTED_VALUE"""),"R")</f>
        <v>R</v>
      </c>
      <c r="Z24" s="8" t="str">
        <f ca="1">IFERROR(__xludf.DUMMYFUNCTION("""COMPUTED_VALUE"""),"M")</f>
        <v>M</v>
      </c>
      <c r="AA24" s="8" t="str">
        <f ca="1">IFERROR(__xludf.DUMMYFUNCTION("""COMPUTED_VALUE"""),"M")</f>
        <v>M</v>
      </c>
    </row>
    <row r="25" spans="1:27" ht="12.75" x14ac:dyDescent="0.2">
      <c r="A25" s="165"/>
      <c r="B25" s="134" t="str">
        <f ca="1">IFERROR(__xludf.DUMMYFUNCTION("""COMPUTED_VALUE"""),"Stehlík Petr")</f>
        <v>Stehlík Petr</v>
      </c>
      <c r="C25" s="135" t="str">
        <f ca="1">IFERROR(__xludf.DUMMYFUNCTION("""COMPUTED_VALUE"""),"Nové Město na Moravě")</f>
        <v>Nové Město na Moravě</v>
      </c>
      <c r="D25" s="136">
        <f ca="1">IFERROR(__xludf.DUMMYFUNCTION("""COMPUTED_VALUE"""),125)</f>
        <v>125</v>
      </c>
      <c r="E25" s="137">
        <f ca="1">IFERROR(__xludf.DUMMYFUNCTION("""COMPUTED_VALUE"""),66)</f>
        <v>66</v>
      </c>
      <c r="F25" s="137">
        <f ca="1">IFERROR(__xludf.DUMMYFUNCTION("""COMPUTED_VALUE"""),3)</f>
        <v>3</v>
      </c>
      <c r="G25" s="138">
        <f ca="1">IFERROR(__xludf.DUMMYFUNCTION("""COMPUTED_VALUE"""),191)</f>
        <v>191</v>
      </c>
      <c r="H25" s="136">
        <f ca="1">IFERROR(__xludf.DUMMYFUNCTION("""COMPUTED_VALUE"""),156)</f>
        <v>156</v>
      </c>
      <c r="I25" s="137">
        <f ca="1">IFERROR(__xludf.DUMMYFUNCTION("""COMPUTED_VALUE"""),42)</f>
        <v>42</v>
      </c>
      <c r="J25" s="137">
        <f ca="1">IFERROR(__xludf.DUMMYFUNCTION("""COMPUTED_VALUE"""),9)</f>
        <v>9</v>
      </c>
      <c r="K25" s="138">
        <f ca="1">IFERROR(__xludf.DUMMYFUNCTION("""COMPUTED_VALUE"""),198)</f>
        <v>198</v>
      </c>
      <c r="L25" s="137">
        <f ca="1">IFERROR(__xludf.DUMMYFUNCTION("""COMPUTED_VALUE"""),281)</f>
        <v>281</v>
      </c>
      <c r="M25" s="137">
        <f ca="1">IFERROR(__xludf.DUMMYFUNCTION("""COMPUTED_VALUE"""),108)</f>
        <v>108</v>
      </c>
      <c r="N25" s="137">
        <f ca="1">IFERROR(__xludf.DUMMYFUNCTION("""COMPUTED_VALUE"""),12)</f>
        <v>12</v>
      </c>
      <c r="O25" s="138">
        <f ca="1">IFERROR(__xludf.DUMMYFUNCTION("""COMPUTED_VALUE"""),389)</f>
        <v>389</v>
      </c>
      <c r="P25" s="139">
        <f ca="1">IFERROR(__xludf.DUMMYFUNCTION("""COMPUTED_VALUE"""),761)</f>
        <v>761</v>
      </c>
      <c r="Q25" s="165"/>
      <c r="R25" s="159"/>
      <c r="S25" s="159"/>
      <c r="T25" s="140">
        <f ca="1">IFERROR(__xludf.DUMMYFUNCTION("""COMPUTED_VALUE"""),188)</f>
        <v>188</v>
      </c>
      <c r="U25" s="140">
        <f ca="1">IFERROR(__xludf.DUMMYFUNCTION("""COMPUTED_VALUE"""),29)</f>
        <v>29</v>
      </c>
      <c r="V25" s="159"/>
      <c r="W25" s="141" t="str">
        <f ca="1">IFERROR(__xludf.DUMMYFUNCTION("""COMPUTED_VALUE"""),"Š")</f>
        <v>Š</v>
      </c>
      <c r="X25" s="141" t="str">
        <f ca="1">IFERROR(__xludf.DUMMYFUNCTION("""COMPUTED_VALUE"""),"R")</f>
        <v>R</v>
      </c>
      <c r="Y25" s="141" t="str">
        <f ca="1">IFERROR(__xludf.DUMMYFUNCTION("""COMPUTED_VALUE"""),"R")</f>
        <v>R</v>
      </c>
      <c r="Z25" s="141" t="str">
        <f ca="1">IFERROR(__xludf.DUMMYFUNCTION("""COMPUTED_VALUE"""),"M")</f>
        <v>M</v>
      </c>
      <c r="AA25" s="8" t="str">
        <f ca="1">IFERROR(__xludf.DUMMYFUNCTION("""COMPUTED_VALUE"""),"M")</f>
        <v>M</v>
      </c>
    </row>
    <row r="26" spans="1:27" ht="12.75" x14ac:dyDescent="0.2">
      <c r="A26" s="172">
        <v>13</v>
      </c>
      <c r="B26" s="127" t="str">
        <f ca="1">IFERROR(__xludf.DUMMYFUNCTION("""COMPUTED_VALUE"""),"Svoboda Michal")</f>
        <v>Svoboda Michal</v>
      </c>
      <c r="C26" s="128" t="str">
        <f ca="1">IFERROR(__xludf.DUMMYFUNCTION("""COMPUTED_VALUE"""),"SKK Veverky Brno")</f>
        <v>SKK Veverky Brno</v>
      </c>
      <c r="D26" s="129">
        <f ca="1">IFERROR(__xludf.DUMMYFUNCTION("""COMPUTED_VALUE"""),126)</f>
        <v>126</v>
      </c>
      <c r="E26" s="130">
        <f ca="1">IFERROR(__xludf.DUMMYFUNCTION("""COMPUTED_VALUE"""),43)</f>
        <v>43</v>
      </c>
      <c r="F26" s="130">
        <f ca="1">IFERROR(__xludf.DUMMYFUNCTION("""COMPUTED_VALUE"""),10)</f>
        <v>10</v>
      </c>
      <c r="G26" s="131">
        <f ca="1">IFERROR(__xludf.DUMMYFUNCTION("""COMPUTED_VALUE"""),169)</f>
        <v>169</v>
      </c>
      <c r="H26" s="129">
        <f ca="1">IFERROR(__xludf.DUMMYFUNCTION("""COMPUTED_VALUE"""),120)</f>
        <v>120</v>
      </c>
      <c r="I26" s="130">
        <f ca="1">IFERROR(__xludf.DUMMYFUNCTION("""COMPUTED_VALUE"""),60)</f>
        <v>60</v>
      </c>
      <c r="J26" s="130">
        <f ca="1">IFERROR(__xludf.DUMMYFUNCTION("""COMPUTED_VALUE"""),6)</f>
        <v>6</v>
      </c>
      <c r="K26" s="131">
        <f ca="1">IFERROR(__xludf.DUMMYFUNCTION("""COMPUTED_VALUE"""),180)</f>
        <v>180</v>
      </c>
      <c r="L26" s="130">
        <f ca="1">IFERROR(__xludf.DUMMYFUNCTION("""COMPUTED_VALUE"""),246)</f>
        <v>246</v>
      </c>
      <c r="M26" s="130">
        <f ca="1">IFERROR(__xludf.DUMMYFUNCTION("""COMPUTED_VALUE"""),103)</f>
        <v>103</v>
      </c>
      <c r="N26" s="130">
        <f ca="1">IFERROR(__xludf.DUMMYFUNCTION("""COMPUTED_VALUE"""),16)</f>
        <v>16</v>
      </c>
      <c r="O26" s="131">
        <f ca="1">IFERROR(__xludf.DUMMYFUNCTION("""COMPUTED_VALUE"""),349)</f>
        <v>349</v>
      </c>
      <c r="P26" s="132">
        <f ca="1">IFERROR(__xludf.DUMMYFUNCTION("""COMPUTED_VALUE"""),719)</f>
        <v>719</v>
      </c>
      <c r="Q26" s="173">
        <f ca="1">IFERROR(__xludf.DUMMYFUNCTION("""COMPUTED_VALUE"""),719)</f>
        <v>719</v>
      </c>
      <c r="R26" s="174">
        <f ca="1">IFERROR(__xludf.DUMMYFUNCTION("""COMPUTED_VALUE"""),214)</f>
        <v>214</v>
      </c>
      <c r="S26" s="174">
        <f ca="1">IFERROR(__xludf.DUMMYFUNCTION("""COMPUTED_VALUE"""),28)</f>
        <v>28</v>
      </c>
      <c r="T26" s="133">
        <f ca="1">IFERROR(__xludf.DUMMYFUNCTION("""COMPUTED_VALUE"""),214)</f>
        <v>214</v>
      </c>
      <c r="U26" s="133">
        <f ca="1">IFERROR(__xludf.DUMMYFUNCTION("""COMPUTED_VALUE"""),28)</f>
        <v>28</v>
      </c>
      <c r="V26" s="175" t="str">
        <f ca="1">IFERROR(__xludf.DUMMYFUNCTION("""COMPUTED_VALUE"""),"Š")</f>
        <v>Š</v>
      </c>
      <c r="W26" s="8" t="str">
        <f ca="1">IFERROR(__xludf.DUMMYFUNCTION("""COMPUTED_VALUE"""),"Š")</f>
        <v>Š</v>
      </c>
      <c r="X26" s="8" t="str">
        <f ca="1">IFERROR(__xludf.DUMMYFUNCTION("""COMPUTED_VALUE"""),"R")</f>
        <v>R</v>
      </c>
      <c r="Y26" s="8" t="str">
        <f ca="1">IFERROR(__xludf.DUMMYFUNCTION("""COMPUTED_VALUE"""),"R")</f>
        <v>R</v>
      </c>
      <c r="Z26" s="8" t="str">
        <f ca="1">IFERROR(__xludf.DUMMYFUNCTION("""COMPUTED_VALUE"""),"M")</f>
        <v>M</v>
      </c>
      <c r="AA26" s="8" t="str">
        <f ca="1">IFERROR(__xludf.DUMMYFUNCTION("""COMPUTED_VALUE"""),"M")</f>
        <v>M</v>
      </c>
    </row>
    <row r="27" spans="1:27" ht="12.75" x14ac:dyDescent="0.2">
      <c r="A27" s="165"/>
      <c r="B27" s="134" t="str">
        <f ca="1">IFERROR(__xludf.DUMMYFUNCTION("""COMPUTED_VALUE"""),"Přívratský Jan")</f>
        <v>Přívratský Jan</v>
      </c>
      <c r="C27" s="135" t="str">
        <f ca="1">IFERROR(__xludf.DUMMYFUNCTION("""COMPUTED_VALUE"""),"Česká Třebová")</f>
        <v>Česká Třebová</v>
      </c>
      <c r="D27" s="136">
        <f ca="1">IFERROR(__xludf.DUMMYFUNCTION("""COMPUTED_VALUE"""),139)</f>
        <v>139</v>
      </c>
      <c r="E27" s="137">
        <f ca="1">IFERROR(__xludf.DUMMYFUNCTION("""COMPUTED_VALUE"""),44)</f>
        <v>44</v>
      </c>
      <c r="F27" s="137">
        <f ca="1">IFERROR(__xludf.DUMMYFUNCTION("""COMPUTED_VALUE"""),6)</f>
        <v>6</v>
      </c>
      <c r="G27" s="138">
        <f ca="1">IFERROR(__xludf.DUMMYFUNCTION("""COMPUTED_VALUE"""),183)</f>
        <v>183</v>
      </c>
      <c r="H27" s="136">
        <f ca="1">IFERROR(__xludf.DUMMYFUNCTION("""COMPUTED_VALUE"""),135)</f>
        <v>135</v>
      </c>
      <c r="I27" s="137">
        <f ca="1">IFERROR(__xludf.DUMMYFUNCTION("""COMPUTED_VALUE"""),53)</f>
        <v>53</v>
      </c>
      <c r="J27" s="137">
        <f ca="1">IFERROR(__xludf.DUMMYFUNCTION("""COMPUTED_VALUE"""),3)</f>
        <v>3</v>
      </c>
      <c r="K27" s="138">
        <f ca="1">IFERROR(__xludf.DUMMYFUNCTION("""COMPUTED_VALUE"""),188)</f>
        <v>188</v>
      </c>
      <c r="L27" s="137">
        <f ca="1">IFERROR(__xludf.DUMMYFUNCTION("""COMPUTED_VALUE"""),274)</f>
        <v>274</v>
      </c>
      <c r="M27" s="137">
        <f ca="1">IFERROR(__xludf.DUMMYFUNCTION("""COMPUTED_VALUE"""),97)</f>
        <v>97</v>
      </c>
      <c r="N27" s="137">
        <f ca="1">IFERROR(__xludf.DUMMYFUNCTION("""COMPUTED_VALUE"""),9)</f>
        <v>9</v>
      </c>
      <c r="O27" s="138">
        <f ca="1">IFERROR(__xludf.DUMMYFUNCTION("""COMPUTED_VALUE"""),371)</f>
        <v>371</v>
      </c>
      <c r="P27" s="139">
        <f ca="1">IFERROR(__xludf.DUMMYFUNCTION("""COMPUTED_VALUE"""),710)</f>
        <v>710</v>
      </c>
      <c r="Q27" s="165"/>
      <c r="R27" s="159"/>
      <c r="S27" s="159"/>
      <c r="T27" s="140">
        <f ca="1">IFERROR(__xludf.DUMMYFUNCTION("""COMPUTED_VALUE"""),195)</f>
        <v>195</v>
      </c>
      <c r="U27" s="140">
        <f ca="1">IFERROR(__xludf.DUMMYFUNCTION("""COMPUTED_VALUE"""),27)</f>
        <v>27</v>
      </c>
      <c r="V27" s="159"/>
      <c r="W27" s="141" t="str">
        <f ca="1">IFERROR(__xludf.DUMMYFUNCTION("""COMPUTED_VALUE"""),"Š")</f>
        <v>Š</v>
      </c>
      <c r="X27" s="141" t="str">
        <f ca="1">IFERROR(__xludf.DUMMYFUNCTION("""COMPUTED_VALUE"""),"R")</f>
        <v>R</v>
      </c>
      <c r="Y27" s="141" t="str">
        <f ca="1">IFERROR(__xludf.DUMMYFUNCTION("""COMPUTED_VALUE"""),"R")</f>
        <v>R</v>
      </c>
      <c r="Z27" s="141" t="str">
        <f ca="1">IFERROR(__xludf.DUMMYFUNCTION("""COMPUTED_VALUE"""),"M")</f>
        <v>M</v>
      </c>
      <c r="AA27" s="8" t="str">
        <f ca="1">IFERROR(__xludf.DUMMYFUNCTION("""COMPUTED_VALUE"""),"M")</f>
        <v>M</v>
      </c>
    </row>
    <row r="28" spans="1:27" ht="12.75" x14ac:dyDescent="0.2">
      <c r="A28" s="172">
        <v>14</v>
      </c>
      <c r="B28" s="127" t="str">
        <f ca="1">IFERROR(__xludf.DUMMYFUNCTION("""COMPUTED_VALUE"""),"Topinka Zdeněk")</f>
        <v>Topinka Zdeněk</v>
      </c>
      <c r="C28" s="128" t="str">
        <f ca="1">IFERROR(__xludf.DUMMYFUNCTION("""COMPUTED_VALUE"""),"Nové Město na Moravě")</f>
        <v>Nové Město na Moravě</v>
      </c>
      <c r="D28" s="129">
        <f ca="1">IFERROR(__xludf.DUMMYFUNCTION("""COMPUTED_VALUE"""),122)</f>
        <v>122</v>
      </c>
      <c r="E28" s="130">
        <f ca="1">IFERROR(__xludf.DUMMYFUNCTION("""COMPUTED_VALUE"""),43)</f>
        <v>43</v>
      </c>
      <c r="F28" s="130">
        <f ca="1">IFERROR(__xludf.DUMMYFUNCTION("""COMPUTED_VALUE"""),8)</f>
        <v>8</v>
      </c>
      <c r="G28" s="131">
        <f ca="1">IFERROR(__xludf.DUMMYFUNCTION("""COMPUTED_VALUE"""),165)</f>
        <v>165</v>
      </c>
      <c r="H28" s="129">
        <f ca="1">IFERROR(__xludf.DUMMYFUNCTION("""COMPUTED_VALUE"""),116)</f>
        <v>116</v>
      </c>
      <c r="I28" s="130">
        <f ca="1">IFERROR(__xludf.DUMMYFUNCTION("""COMPUTED_VALUE"""),44)</f>
        <v>44</v>
      </c>
      <c r="J28" s="130">
        <f ca="1">IFERROR(__xludf.DUMMYFUNCTION("""COMPUTED_VALUE"""),8)</f>
        <v>8</v>
      </c>
      <c r="K28" s="131">
        <f ca="1">IFERROR(__xludf.DUMMYFUNCTION("""COMPUTED_VALUE"""),160)</f>
        <v>160</v>
      </c>
      <c r="L28" s="130">
        <f ca="1">IFERROR(__xludf.DUMMYFUNCTION("""COMPUTED_VALUE"""),238)</f>
        <v>238</v>
      </c>
      <c r="M28" s="130">
        <f ca="1">IFERROR(__xludf.DUMMYFUNCTION("""COMPUTED_VALUE"""),87)</f>
        <v>87</v>
      </c>
      <c r="N28" s="130">
        <f ca="1">IFERROR(__xludf.DUMMYFUNCTION("""COMPUTED_VALUE"""),16)</f>
        <v>16</v>
      </c>
      <c r="O28" s="131">
        <f ca="1">IFERROR(__xludf.DUMMYFUNCTION("""COMPUTED_VALUE"""),325)</f>
        <v>325</v>
      </c>
      <c r="P28" s="132">
        <f ca="1">IFERROR(__xludf.DUMMYFUNCTION("""COMPUTED_VALUE"""),708)</f>
        <v>708</v>
      </c>
      <c r="Q28" s="173">
        <f ca="1">IFERROR(__xludf.DUMMYFUNCTION("""COMPUTED_VALUE"""),708)</f>
        <v>708</v>
      </c>
      <c r="R28" s="174">
        <f ca="1">IFERROR(__xludf.DUMMYFUNCTION("""COMPUTED_VALUE"""),180)</f>
        <v>180</v>
      </c>
      <c r="S28" s="174">
        <f ca="1">IFERROR(__xludf.DUMMYFUNCTION("""COMPUTED_VALUE"""),31)</f>
        <v>31</v>
      </c>
      <c r="T28" s="133">
        <f ca="1">IFERROR(__xludf.DUMMYFUNCTION("""COMPUTED_VALUE"""),180)</f>
        <v>180</v>
      </c>
      <c r="U28" s="133">
        <f ca="1">IFERROR(__xludf.DUMMYFUNCTION("""COMPUTED_VALUE"""),31)</f>
        <v>31</v>
      </c>
      <c r="V28" s="175" t="str">
        <f ca="1">IFERROR(__xludf.DUMMYFUNCTION("""COMPUTED_VALUE"""),"Š")</f>
        <v>Š</v>
      </c>
      <c r="W28" s="8" t="str">
        <f ca="1">IFERROR(__xludf.DUMMYFUNCTION("""COMPUTED_VALUE"""),"Š")</f>
        <v>Š</v>
      </c>
      <c r="X28" s="8" t="str">
        <f ca="1">IFERROR(__xludf.DUMMYFUNCTION("""COMPUTED_VALUE"""),"R")</f>
        <v>R</v>
      </c>
      <c r="Y28" s="8" t="str">
        <f ca="1">IFERROR(__xludf.DUMMYFUNCTION("""COMPUTED_VALUE"""),"R")</f>
        <v>R</v>
      </c>
      <c r="Z28" s="8" t="str">
        <f ca="1">IFERROR(__xludf.DUMMYFUNCTION("""COMPUTED_VALUE"""),"M")</f>
        <v>M</v>
      </c>
      <c r="AA28" s="8" t="str">
        <f ca="1">IFERROR(__xludf.DUMMYFUNCTION("""COMPUTED_VALUE"""),"M")</f>
        <v>M</v>
      </c>
    </row>
    <row r="29" spans="1:27" ht="12.75" x14ac:dyDescent="0.2">
      <c r="A29" s="165"/>
      <c r="B29" s="134"/>
      <c r="C29" s="135"/>
      <c r="D29" s="136"/>
      <c r="E29" s="137"/>
      <c r="F29" s="137"/>
      <c r="G29" s="138"/>
      <c r="H29" s="136"/>
      <c r="I29" s="137"/>
      <c r="J29" s="137"/>
      <c r="K29" s="138"/>
      <c r="L29" s="137"/>
      <c r="M29" s="137"/>
      <c r="N29" s="137"/>
      <c r="O29" s="138"/>
      <c r="P29" s="139"/>
      <c r="Q29" s="165"/>
      <c r="R29" s="159"/>
      <c r="S29" s="159"/>
      <c r="T29" s="140"/>
      <c r="U29" s="140"/>
      <c r="V29" s="159"/>
      <c r="W29" s="141"/>
      <c r="X29" s="141"/>
      <c r="Y29" s="141"/>
      <c r="Z29" s="141"/>
    </row>
    <row r="30" spans="1:27" ht="12.75" x14ac:dyDescent="0.2">
      <c r="A30" s="172">
        <v>15</v>
      </c>
      <c r="B30" s="127"/>
      <c r="C30" s="128"/>
      <c r="D30" s="129"/>
      <c r="E30" s="130"/>
      <c r="F30" s="130"/>
      <c r="G30" s="131"/>
      <c r="H30" s="129"/>
      <c r="I30" s="130"/>
      <c r="J30" s="130"/>
      <c r="K30" s="131"/>
      <c r="L30" s="130"/>
      <c r="M30" s="130"/>
      <c r="N30" s="130"/>
      <c r="O30" s="131"/>
      <c r="P30" s="132"/>
      <c r="Q30" s="173"/>
      <c r="R30" s="174"/>
      <c r="S30" s="174"/>
      <c r="T30" s="133"/>
      <c r="U30" s="133"/>
      <c r="V30" s="175"/>
    </row>
    <row r="31" spans="1:27" ht="12.75" x14ac:dyDescent="0.2">
      <c r="A31" s="165"/>
      <c r="B31" s="134"/>
      <c r="C31" s="135"/>
      <c r="D31" s="136"/>
      <c r="E31" s="137"/>
      <c r="F31" s="137"/>
      <c r="G31" s="138"/>
      <c r="H31" s="136"/>
      <c r="I31" s="137"/>
      <c r="J31" s="137"/>
      <c r="K31" s="138"/>
      <c r="L31" s="137"/>
      <c r="M31" s="137"/>
      <c r="N31" s="137"/>
      <c r="O31" s="138"/>
      <c r="P31" s="139"/>
      <c r="Q31" s="165"/>
      <c r="R31" s="159"/>
      <c r="S31" s="159"/>
      <c r="T31" s="140"/>
      <c r="U31" s="140"/>
      <c r="V31" s="159"/>
      <c r="W31" s="141"/>
      <c r="X31" s="141"/>
      <c r="Y31" s="141"/>
      <c r="Z31" s="141"/>
    </row>
    <row r="32" spans="1:27" ht="12.75" x14ac:dyDescent="0.2">
      <c r="A32" s="172">
        <v>16</v>
      </c>
      <c r="B32" s="127"/>
      <c r="C32" s="128"/>
      <c r="D32" s="129"/>
      <c r="E32" s="130"/>
      <c r="F32" s="130"/>
      <c r="G32" s="131"/>
      <c r="H32" s="129"/>
      <c r="I32" s="130"/>
      <c r="J32" s="130"/>
      <c r="K32" s="131"/>
      <c r="L32" s="130"/>
      <c r="M32" s="130"/>
      <c r="N32" s="130"/>
      <c r="O32" s="131"/>
      <c r="P32" s="132"/>
      <c r="Q32" s="173"/>
      <c r="R32" s="174"/>
      <c r="S32" s="174"/>
      <c r="T32" s="133"/>
      <c r="U32" s="133"/>
      <c r="V32" s="175"/>
    </row>
    <row r="33" spans="1:26" ht="12.75" x14ac:dyDescent="0.2">
      <c r="A33" s="165"/>
      <c r="B33" s="134"/>
      <c r="C33" s="135"/>
      <c r="D33" s="136"/>
      <c r="E33" s="137"/>
      <c r="F33" s="137"/>
      <c r="G33" s="138"/>
      <c r="H33" s="136"/>
      <c r="I33" s="137"/>
      <c r="J33" s="137"/>
      <c r="K33" s="138"/>
      <c r="L33" s="137"/>
      <c r="M33" s="137"/>
      <c r="N33" s="137"/>
      <c r="O33" s="138"/>
      <c r="P33" s="139"/>
      <c r="Q33" s="165"/>
      <c r="R33" s="159"/>
      <c r="S33" s="159"/>
      <c r="T33" s="140"/>
      <c r="U33" s="140"/>
      <c r="V33" s="159"/>
      <c r="W33" s="141"/>
      <c r="X33" s="141"/>
      <c r="Y33" s="141"/>
      <c r="Z33" s="141"/>
    </row>
    <row r="34" spans="1:26" ht="12.75" x14ac:dyDescent="0.2">
      <c r="A34" s="172">
        <v>17</v>
      </c>
      <c r="B34" s="127"/>
      <c r="C34" s="128"/>
      <c r="D34" s="129"/>
      <c r="E34" s="130"/>
      <c r="F34" s="130"/>
      <c r="G34" s="131"/>
      <c r="H34" s="129"/>
      <c r="I34" s="130"/>
      <c r="J34" s="130"/>
      <c r="K34" s="131"/>
      <c r="L34" s="130"/>
      <c r="M34" s="130"/>
      <c r="N34" s="130"/>
      <c r="O34" s="131"/>
      <c r="P34" s="132"/>
      <c r="Q34" s="173"/>
      <c r="R34" s="174"/>
      <c r="S34" s="174"/>
      <c r="T34" s="133"/>
      <c r="U34" s="133"/>
      <c r="V34" s="175"/>
    </row>
    <row r="35" spans="1:26" ht="12.75" x14ac:dyDescent="0.2">
      <c r="A35" s="165"/>
      <c r="B35" s="134"/>
      <c r="C35" s="135"/>
      <c r="D35" s="136"/>
      <c r="E35" s="137"/>
      <c r="F35" s="137"/>
      <c r="G35" s="138"/>
      <c r="H35" s="136"/>
      <c r="I35" s="137"/>
      <c r="J35" s="137"/>
      <c r="K35" s="138"/>
      <c r="L35" s="137"/>
      <c r="M35" s="137"/>
      <c r="N35" s="137"/>
      <c r="O35" s="138"/>
      <c r="P35" s="139"/>
      <c r="Q35" s="165"/>
      <c r="R35" s="159"/>
      <c r="S35" s="159"/>
      <c r="T35" s="140"/>
      <c r="U35" s="140"/>
      <c r="V35" s="159"/>
      <c r="W35" s="141"/>
      <c r="X35" s="141"/>
      <c r="Y35" s="141"/>
      <c r="Z35" s="141"/>
    </row>
    <row r="36" spans="1:26" ht="12.75" x14ac:dyDescent="0.2">
      <c r="A36" s="172">
        <v>18</v>
      </c>
      <c r="B36" s="127"/>
      <c r="C36" s="128"/>
      <c r="D36" s="129"/>
      <c r="E36" s="130"/>
      <c r="F36" s="130"/>
      <c r="G36" s="131"/>
      <c r="H36" s="129"/>
      <c r="I36" s="130"/>
      <c r="J36" s="130"/>
      <c r="K36" s="131"/>
      <c r="L36" s="130"/>
      <c r="M36" s="130"/>
      <c r="N36" s="130"/>
      <c r="O36" s="131"/>
      <c r="P36" s="132"/>
      <c r="Q36" s="173"/>
      <c r="R36" s="174"/>
      <c r="S36" s="174"/>
      <c r="T36" s="133"/>
      <c r="U36" s="133"/>
      <c r="V36" s="175"/>
    </row>
    <row r="37" spans="1:26" ht="12.75" x14ac:dyDescent="0.2">
      <c r="A37" s="165"/>
      <c r="B37" s="134"/>
      <c r="C37" s="135"/>
      <c r="D37" s="136"/>
      <c r="E37" s="137"/>
      <c r="F37" s="137"/>
      <c r="G37" s="138"/>
      <c r="H37" s="136"/>
      <c r="I37" s="137"/>
      <c r="J37" s="137"/>
      <c r="K37" s="138"/>
      <c r="L37" s="137"/>
      <c r="M37" s="137"/>
      <c r="N37" s="137"/>
      <c r="O37" s="138"/>
      <c r="P37" s="139"/>
      <c r="Q37" s="165"/>
      <c r="R37" s="159"/>
      <c r="S37" s="159"/>
      <c r="T37" s="140"/>
      <c r="U37" s="140"/>
      <c r="V37" s="159"/>
      <c r="W37" s="141"/>
      <c r="X37" s="141"/>
      <c r="Y37" s="141"/>
      <c r="Z37" s="141"/>
    </row>
    <row r="38" spans="1:26" ht="12.75" x14ac:dyDescent="0.2">
      <c r="A38" s="172">
        <v>19</v>
      </c>
      <c r="B38" s="127"/>
      <c r="C38" s="128"/>
      <c r="D38" s="129"/>
      <c r="E38" s="130"/>
      <c r="F38" s="130"/>
      <c r="G38" s="131"/>
      <c r="H38" s="129"/>
      <c r="I38" s="130"/>
      <c r="J38" s="130"/>
      <c r="K38" s="131"/>
      <c r="L38" s="130"/>
      <c r="M38" s="130"/>
      <c r="N38" s="130"/>
      <c r="O38" s="131"/>
      <c r="P38" s="132"/>
      <c r="Q38" s="173"/>
      <c r="R38" s="174"/>
      <c r="S38" s="174"/>
      <c r="T38" s="133"/>
      <c r="U38" s="133"/>
      <c r="V38" s="175"/>
    </row>
    <row r="39" spans="1:26" ht="12.75" x14ac:dyDescent="0.2">
      <c r="A39" s="165"/>
      <c r="B39" s="134"/>
      <c r="C39" s="135"/>
      <c r="D39" s="136"/>
      <c r="E39" s="137"/>
      <c r="F39" s="137"/>
      <c r="G39" s="138"/>
      <c r="H39" s="136"/>
      <c r="I39" s="137"/>
      <c r="J39" s="137"/>
      <c r="K39" s="138"/>
      <c r="L39" s="137"/>
      <c r="M39" s="137"/>
      <c r="N39" s="137"/>
      <c r="O39" s="138"/>
      <c r="P39" s="139"/>
      <c r="Q39" s="165"/>
      <c r="R39" s="159"/>
      <c r="S39" s="159"/>
      <c r="T39" s="140"/>
      <c r="U39" s="140"/>
      <c r="V39" s="159"/>
      <c r="W39" s="141"/>
      <c r="X39" s="141"/>
      <c r="Y39" s="141"/>
      <c r="Z39" s="141"/>
    </row>
    <row r="40" spans="1:26" ht="12.75" x14ac:dyDescent="0.2">
      <c r="A40" s="172">
        <v>20</v>
      </c>
      <c r="B40" s="127"/>
      <c r="C40" s="128"/>
      <c r="D40" s="129"/>
      <c r="E40" s="130"/>
      <c r="F40" s="130"/>
      <c r="G40" s="131"/>
      <c r="H40" s="129"/>
      <c r="I40" s="130"/>
      <c r="J40" s="130"/>
      <c r="K40" s="131"/>
      <c r="L40" s="130"/>
      <c r="M40" s="130"/>
      <c r="N40" s="130"/>
      <c r="O40" s="131"/>
      <c r="P40" s="132"/>
      <c r="Q40" s="173"/>
      <c r="R40" s="174"/>
      <c r="S40" s="174"/>
      <c r="T40" s="133"/>
      <c r="U40" s="133"/>
      <c r="V40" s="175"/>
    </row>
    <row r="41" spans="1:26" ht="12.75" x14ac:dyDescent="0.2">
      <c r="A41" s="165"/>
      <c r="B41" s="134"/>
      <c r="C41" s="135"/>
      <c r="D41" s="136"/>
      <c r="E41" s="137"/>
      <c r="F41" s="137"/>
      <c r="G41" s="138"/>
      <c r="H41" s="136"/>
      <c r="I41" s="137"/>
      <c r="J41" s="137"/>
      <c r="K41" s="138"/>
      <c r="L41" s="137"/>
      <c r="M41" s="137"/>
      <c r="N41" s="137"/>
      <c r="O41" s="138"/>
      <c r="P41" s="139"/>
      <c r="Q41" s="165"/>
      <c r="R41" s="159"/>
      <c r="S41" s="159"/>
      <c r="T41" s="140"/>
      <c r="U41" s="140"/>
      <c r="V41" s="159"/>
      <c r="W41" s="141"/>
      <c r="X41" s="141"/>
      <c r="Y41" s="141"/>
      <c r="Z41" s="141"/>
    </row>
    <row r="42" spans="1:26" ht="12.75" x14ac:dyDescent="0.2">
      <c r="A42" s="172">
        <v>21</v>
      </c>
      <c r="B42" s="127"/>
      <c r="C42" s="128"/>
      <c r="D42" s="129"/>
      <c r="E42" s="130"/>
      <c r="F42" s="130"/>
      <c r="G42" s="131"/>
      <c r="H42" s="129"/>
      <c r="I42" s="130"/>
      <c r="J42" s="130"/>
      <c r="K42" s="131"/>
      <c r="L42" s="130"/>
      <c r="M42" s="130"/>
      <c r="N42" s="130"/>
      <c r="O42" s="131"/>
      <c r="P42" s="132"/>
      <c r="Q42" s="173"/>
      <c r="R42" s="174"/>
      <c r="S42" s="174"/>
      <c r="T42" s="133"/>
      <c r="U42" s="133"/>
      <c r="V42" s="175"/>
    </row>
    <row r="43" spans="1:26" ht="12.75" x14ac:dyDescent="0.2">
      <c r="A43" s="165"/>
      <c r="B43" s="134"/>
      <c r="C43" s="135"/>
      <c r="D43" s="136"/>
      <c r="E43" s="137"/>
      <c r="F43" s="137"/>
      <c r="G43" s="138"/>
      <c r="H43" s="136"/>
      <c r="I43" s="137"/>
      <c r="J43" s="137"/>
      <c r="K43" s="138"/>
      <c r="L43" s="137"/>
      <c r="M43" s="137"/>
      <c r="N43" s="137"/>
      <c r="O43" s="138"/>
      <c r="P43" s="139"/>
      <c r="Q43" s="165"/>
      <c r="R43" s="159"/>
      <c r="S43" s="159"/>
      <c r="T43" s="140"/>
      <c r="U43" s="140"/>
      <c r="V43" s="159"/>
      <c r="W43" s="141"/>
      <c r="X43" s="141"/>
      <c r="Y43" s="141"/>
      <c r="Z43" s="141"/>
    </row>
    <row r="44" spans="1:26" ht="12.75" x14ac:dyDescent="0.2">
      <c r="A44" s="172">
        <v>22</v>
      </c>
      <c r="B44" s="127"/>
      <c r="C44" s="128"/>
      <c r="D44" s="129"/>
      <c r="E44" s="130"/>
      <c r="F44" s="130"/>
      <c r="G44" s="131"/>
      <c r="H44" s="129"/>
      <c r="I44" s="130"/>
      <c r="J44" s="130"/>
      <c r="K44" s="131"/>
      <c r="L44" s="130"/>
      <c r="M44" s="130"/>
      <c r="N44" s="130"/>
      <c r="O44" s="131"/>
      <c r="P44" s="132"/>
      <c r="Q44" s="173"/>
      <c r="R44" s="174"/>
      <c r="S44" s="174"/>
      <c r="T44" s="133"/>
      <c r="U44" s="133"/>
      <c r="V44" s="175"/>
    </row>
    <row r="45" spans="1:26" ht="12.75" x14ac:dyDescent="0.2">
      <c r="A45" s="165"/>
      <c r="B45" s="134"/>
      <c r="C45" s="135"/>
      <c r="D45" s="136"/>
      <c r="E45" s="137"/>
      <c r="F45" s="137"/>
      <c r="G45" s="138"/>
      <c r="H45" s="136"/>
      <c r="I45" s="137"/>
      <c r="J45" s="137"/>
      <c r="K45" s="138"/>
      <c r="L45" s="137"/>
      <c r="M45" s="137"/>
      <c r="N45" s="137"/>
      <c r="O45" s="138"/>
      <c r="P45" s="139"/>
      <c r="Q45" s="165"/>
      <c r="R45" s="159"/>
      <c r="S45" s="159"/>
      <c r="T45" s="140"/>
      <c r="U45" s="140"/>
      <c r="V45" s="159"/>
      <c r="W45" s="141"/>
      <c r="X45" s="141"/>
      <c r="Y45" s="141"/>
      <c r="Z45" s="141"/>
    </row>
    <row r="46" spans="1:26" ht="12.75" x14ac:dyDescent="0.2">
      <c r="A46" s="172">
        <v>23</v>
      </c>
      <c r="B46" s="127"/>
      <c r="C46" s="128"/>
      <c r="D46" s="129"/>
      <c r="E46" s="130"/>
      <c r="F46" s="130"/>
      <c r="G46" s="131"/>
      <c r="H46" s="129"/>
      <c r="I46" s="130"/>
      <c r="J46" s="130"/>
      <c r="K46" s="131"/>
      <c r="L46" s="130"/>
      <c r="M46" s="130"/>
      <c r="N46" s="130"/>
      <c r="O46" s="131"/>
      <c r="P46" s="132"/>
      <c r="Q46" s="173"/>
      <c r="R46" s="174"/>
      <c r="S46" s="174"/>
      <c r="T46" s="133"/>
      <c r="U46" s="133"/>
      <c r="V46" s="175"/>
    </row>
    <row r="47" spans="1:26" ht="12.75" x14ac:dyDescent="0.2">
      <c r="A47" s="165"/>
      <c r="B47" s="134"/>
      <c r="C47" s="135"/>
      <c r="D47" s="136"/>
      <c r="E47" s="137"/>
      <c r="F47" s="137"/>
      <c r="G47" s="138"/>
      <c r="H47" s="136"/>
      <c r="I47" s="137"/>
      <c r="J47" s="137"/>
      <c r="K47" s="138"/>
      <c r="L47" s="137"/>
      <c r="M47" s="137"/>
      <c r="N47" s="137"/>
      <c r="O47" s="138"/>
      <c r="P47" s="139"/>
      <c r="Q47" s="165"/>
      <c r="R47" s="159"/>
      <c r="S47" s="159"/>
      <c r="T47" s="140"/>
      <c r="U47" s="140"/>
      <c r="V47" s="159"/>
      <c r="W47" s="141"/>
      <c r="X47" s="141"/>
      <c r="Y47" s="141"/>
      <c r="Z47" s="141"/>
    </row>
    <row r="48" spans="1:26" ht="12.75" x14ac:dyDescent="0.2">
      <c r="A48" s="172">
        <v>24</v>
      </c>
      <c r="B48" s="127"/>
      <c r="C48" s="128"/>
      <c r="D48" s="129"/>
      <c r="E48" s="130"/>
      <c r="F48" s="130"/>
      <c r="G48" s="131"/>
      <c r="H48" s="129"/>
      <c r="I48" s="130"/>
      <c r="J48" s="130"/>
      <c r="K48" s="131"/>
      <c r="L48" s="130"/>
      <c r="M48" s="130"/>
      <c r="N48" s="130"/>
      <c r="O48" s="131"/>
      <c r="P48" s="132"/>
      <c r="Q48" s="173"/>
      <c r="R48" s="174"/>
      <c r="S48" s="174"/>
      <c r="T48" s="133"/>
      <c r="U48" s="133"/>
      <c r="V48" s="175"/>
    </row>
    <row r="49" spans="1:26" ht="12.75" x14ac:dyDescent="0.2">
      <c r="A49" s="165"/>
      <c r="B49" s="134"/>
      <c r="C49" s="135"/>
      <c r="D49" s="136"/>
      <c r="E49" s="137"/>
      <c r="F49" s="137"/>
      <c r="G49" s="138"/>
      <c r="H49" s="136"/>
      <c r="I49" s="137"/>
      <c r="J49" s="137"/>
      <c r="K49" s="138"/>
      <c r="L49" s="137"/>
      <c r="M49" s="137"/>
      <c r="N49" s="137"/>
      <c r="O49" s="138"/>
      <c r="P49" s="139"/>
      <c r="Q49" s="165"/>
      <c r="R49" s="159"/>
      <c r="S49" s="159"/>
      <c r="T49" s="140"/>
      <c r="U49" s="140"/>
      <c r="V49" s="159"/>
      <c r="W49" s="141"/>
      <c r="X49" s="141"/>
      <c r="Y49" s="141"/>
      <c r="Z49" s="141"/>
    </row>
    <row r="50" spans="1:26" ht="12.75" x14ac:dyDescent="0.2">
      <c r="A50" s="172">
        <v>25</v>
      </c>
      <c r="B50" s="127"/>
      <c r="C50" s="128"/>
      <c r="D50" s="129"/>
      <c r="E50" s="130"/>
      <c r="F50" s="130"/>
      <c r="G50" s="131"/>
      <c r="H50" s="129"/>
      <c r="I50" s="130"/>
      <c r="J50" s="130"/>
      <c r="K50" s="131"/>
      <c r="L50" s="130"/>
      <c r="M50" s="130"/>
      <c r="N50" s="130"/>
      <c r="O50" s="131"/>
      <c r="P50" s="132"/>
      <c r="Q50" s="173"/>
      <c r="R50" s="174"/>
      <c r="S50" s="174"/>
      <c r="T50" s="133"/>
      <c r="U50" s="133"/>
      <c r="V50" s="175"/>
    </row>
    <row r="51" spans="1:26" ht="12.75" x14ac:dyDescent="0.2">
      <c r="A51" s="165"/>
      <c r="B51" s="134"/>
      <c r="C51" s="135"/>
      <c r="D51" s="136"/>
      <c r="E51" s="137"/>
      <c r="F51" s="137"/>
      <c r="G51" s="138"/>
      <c r="H51" s="136"/>
      <c r="I51" s="137"/>
      <c r="J51" s="137"/>
      <c r="K51" s="138"/>
      <c r="L51" s="137"/>
      <c r="M51" s="137"/>
      <c r="N51" s="137"/>
      <c r="O51" s="138"/>
      <c r="P51" s="139"/>
      <c r="Q51" s="165"/>
      <c r="R51" s="159"/>
      <c r="S51" s="159"/>
      <c r="T51" s="140"/>
      <c r="U51" s="140"/>
      <c r="V51" s="159"/>
      <c r="W51" s="141"/>
      <c r="X51" s="141"/>
      <c r="Y51" s="141"/>
      <c r="Z51" s="141"/>
    </row>
    <row r="52" spans="1:26" ht="12.75" x14ac:dyDescent="0.2">
      <c r="A52" s="172">
        <v>26</v>
      </c>
      <c r="B52" s="127"/>
      <c r="C52" s="128"/>
      <c r="D52" s="129"/>
      <c r="E52" s="130"/>
      <c r="F52" s="130"/>
      <c r="G52" s="131"/>
      <c r="H52" s="129"/>
      <c r="I52" s="130"/>
      <c r="J52" s="130"/>
      <c r="K52" s="131"/>
      <c r="L52" s="130"/>
      <c r="M52" s="130"/>
      <c r="N52" s="130"/>
      <c r="O52" s="131"/>
      <c r="P52" s="132"/>
      <c r="Q52" s="173"/>
      <c r="R52" s="174"/>
      <c r="S52" s="174"/>
      <c r="T52" s="133"/>
      <c r="U52" s="133"/>
      <c r="V52" s="175"/>
    </row>
    <row r="53" spans="1:26" ht="12.75" x14ac:dyDescent="0.2">
      <c r="A53" s="165"/>
      <c r="B53" s="134"/>
      <c r="C53" s="135"/>
      <c r="D53" s="136"/>
      <c r="E53" s="137"/>
      <c r="F53" s="137"/>
      <c r="G53" s="138"/>
      <c r="H53" s="136"/>
      <c r="I53" s="137"/>
      <c r="J53" s="137"/>
      <c r="K53" s="138"/>
      <c r="L53" s="137"/>
      <c r="M53" s="137"/>
      <c r="N53" s="137"/>
      <c r="O53" s="138"/>
      <c r="P53" s="139"/>
      <c r="Q53" s="165"/>
      <c r="R53" s="159"/>
      <c r="S53" s="159"/>
      <c r="T53" s="140"/>
      <c r="U53" s="140"/>
      <c r="V53" s="159"/>
      <c r="W53" s="141"/>
      <c r="X53" s="141"/>
      <c r="Y53" s="141"/>
      <c r="Z53" s="141"/>
    </row>
    <row r="54" spans="1:26" ht="12.75" x14ac:dyDescent="0.2">
      <c r="A54" s="172">
        <v>27</v>
      </c>
      <c r="B54" s="127"/>
      <c r="C54" s="128"/>
      <c r="D54" s="129"/>
      <c r="E54" s="130"/>
      <c r="F54" s="130"/>
      <c r="G54" s="131"/>
      <c r="H54" s="129"/>
      <c r="I54" s="130"/>
      <c r="J54" s="130"/>
      <c r="K54" s="131"/>
      <c r="L54" s="130"/>
      <c r="M54" s="130"/>
      <c r="N54" s="130"/>
      <c r="O54" s="131"/>
      <c r="P54" s="132"/>
      <c r="Q54" s="173"/>
      <c r="R54" s="174"/>
      <c r="S54" s="174"/>
      <c r="T54" s="133"/>
      <c r="U54" s="133"/>
      <c r="V54" s="175"/>
    </row>
    <row r="55" spans="1:26" ht="12.75" x14ac:dyDescent="0.2">
      <c r="A55" s="180"/>
      <c r="B55" s="134"/>
      <c r="C55" s="135"/>
      <c r="D55" s="136"/>
      <c r="E55" s="137"/>
      <c r="F55" s="137"/>
      <c r="G55" s="138"/>
      <c r="H55" s="136"/>
      <c r="I55" s="137"/>
      <c r="J55" s="137"/>
      <c r="K55" s="138"/>
      <c r="L55" s="137"/>
      <c r="M55" s="137"/>
      <c r="N55" s="137"/>
      <c r="O55" s="138"/>
      <c r="P55" s="139"/>
      <c r="Q55" s="165"/>
      <c r="R55" s="159"/>
      <c r="S55" s="159"/>
      <c r="T55" s="140"/>
      <c r="U55" s="140"/>
      <c r="V55" s="159"/>
      <c r="W55" s="141"/>
      <c r="X55" s="141"/>
      <c r="Y55" s="141"/>
      <c r="Z55" s="141"/>
    </row>
    <row r="56" spans="1:26" ht="12.75" x14ac:dyDescent="0.2">
      <c r="A56" s="172">
        <v>28</v>
      </c>
      <c r="B56" s="127"/>
      <c r="C56" s="128"/>
      <c r="D56" s="129"/>
      <c r="E56" s="130"/>
      <c r="F56" s="130"/>
      <c r="G56" s="131"/>
      <c r="H56" s="129"/>
      <c r="I56" s="130"/>
      <c r="J56" s="130"/>
      <c r="K56" s="131"/>
      <c r="L56" s="130"/>
      <c r="M56" s="130"/>
      <c r="N56" s="130"/>
      <c r="O56" s="131"/>
      <c r="P56" s="132"/>
      <c r="Q56" s="173"/>
      <c r="R56" s="174"/>
      <c r="S56" s="174"/>
      <c r="T56" s="133"/>
      <c r="U56" s="133"/>
      <c r="V56" s="175"/>
    </row>
    <row r="57" spans="1:26" ht="12.75" x14ac:dyDescent="0.2">
      <c r="A57" s="180"/>
      <c r="B57" s="134"/>
      <c r="C57" s="135"/>
      <c r="D57" s="136"/>
      <c r="E57" s="137"/>
      <c r="F57" s="137"/>
      <c r="G57" s="138"/>
      <c r="H57" s="136"/>
      <c r="I57" s="137"/>
      <c r="J57" s="137"/>
      <c r="K57" s="138"/>
      <c r="L57" s="137"/>
      <c r="M57" s="137"/>
      <c r="N57" s="137"/>
      <c r="O57" s="138"/>
      <c r="P57" s="139"/>
      <c r="Q57" s="165"/>
      <c r="R57" s="159"/>
      <c r="S57" s="159"/>
      <c r="T57" s="140"/>
      <c r="U57" s="140"/>
      <c r="V57" s="159"/>
      <c r="W57" s="141"/>
      <c r="X57" s="141"/>
      <c r="Y57" s="141"/>
      <c r="Z57" s="141"/>
    </row>
    <row r="58" spans="1:26" ht="12.75" x14ac:dyDescent="0.2">
      <c r="A58" s="172">
        <v>29</v>
      </c>
      <c r="B58" s="127"/>
      <c r="C58" s="128"/>
      <c r="D58" s="129"/>
      <c r="E58" s="130"/>
      <c r="F58" s="130"/>
      <c r="G58" s="131"/>
      <c r="H58" s="129"/>
      <c r="I58" s="130"/>
      <c r="J58" s="130"/>
      <c r="K58" s="131"/>
      <c r="L58" s="130"/>
      <c r="M58" s="130"/>
      <c r="N58" s="130"/>
      <c r="O58" s="131"/>
      <c r="P58" s="132"/>
      <c r="Q58" s="173"/>
      <c r="R58" s="174"/>
      <c r="S58" s="174"/>
      <c r="T58" s="133"/>
      <c r="U58" s="133"/>
      <c r="V58" s="175"/>
    </row>
    <row r="59" spans="1:26" ht="12.75" x14ac:dyDescent="0.2">
      <c r="A59" s="180"/>
      <c r="B59" s="134"/>
      <c r="C59" s="135"/>
      <c r="D59" s="136"/>
      <c r="E59" s="137"/>
      <c r="F59" s="137"/>
      <c r="G59" s="138"/>
      <c r="H59" s="136"/>
      <c r="I59" s="137"/>
      <c r="J59" s="137"/>
      <c r="K59" s="138"/>
      <c r="L59" s="137"/>
      <c r="M59" s="137"/>
      <c r="N59" s="137"/>
      <c r="O59" s="138"/>
      <c r="P59" s="139"/>
      <c r="Q59" s="165"/>
      <c r="R59" s="159"/>
      <c r="S59" s="159"/>
      <c r="T59" s="140"/>
      <c r="U59" s="140"/>
      <c r="V59" s="159"/>
      <c r="W59" s="141"/>
      <c r="X59" s="141"/>
      <c r="Y59" s="141"/>
      <c r="Z59" s="141"/>
    </row>
    <row r="60" spans="1:26" ht="12.75" x14ac:dyDescent="0.2">
      <c r="A60" s="172">
        <v>30</v>
      </c>
      <c r="B60" s="127"/>
      <c r="C60" s="128"/>
      <c r="D60" s="129"/>
      <c r="E60" s="130"/>
      <c r="F60" s="130"/>
      <c r="G60" s="131"/>
      <c r="H60" s="129"/>
      <c r="I60" s="130"/>
      <c r="J60" s="130"/>
      <c r="K60" s="131"/>
      <c r="L60" s="130"/>
      <c r="M60" s="130"/>
      <c r="N60" s="130"/>
      <c r="O60" s="131"/>
      <c r="P60" s="132"/>
      <c r="Q60" s="173"/>
      <c r="R60" s="174"/>
      <c r="S60" s="174"/>
      <c r="T60" s="133"/>
      <c r="U60" s="133"/>
      <c r="V60" s="175"/>
    </row>
    <row r="61" spans="1:26" ht="12.75" x14ac:dyDescent="0.2">
      <c r="A61" s="180"/>
      <c r="B61" s="134"/>
      <c r="C61" s="135"/>
      <c r="D61" s="136"/>
      <c r="E61" s="137"/>
      <c r="F61" s="137"/>
      <c r="G61" s="138"/>
      <c r="H61" s="136"/>
      <c r="I61" s="137"/>
      <c r="J61" s="137"/>
      <c r="K61" s="138"/>
      <c r="L61" s="137"/>
      <c r="M61" s="137"/>
      <c r="N61" s="137"/>
      <c r="O61" s="138"/>
      <c r="P61" s="139"/>
      <c r="Q61" s="165"/>
      <c r="R61" s="159"/>
      <c r="S61" s="159"/>
      <c r="T61" s="140"/>
      <c r="U61" s="140"/>
      <c r="V61" s="159"/>
      <c r="W61" s="141"/>
      <c r="X61" s="141"/>
      <c r="Y61" s="141"/>
      <c r="Z61" s="141"/>
    </row>
    <row r="62" spans="1:26" ht="12.75" x14ac:dyDescent="0.2">
      <c r="A62" s="172">
        <v>31</v>
      </c>
      <c r="B62" s="127"/>
      <c r="C62" s="128"/>
      <c r="D62" s="129"/>
      <c r="E62" s="130"/>
      <c r="F62" s="130"/>
      <c r="G62" s="131"/>
      <c r="H62" s="129"/>
      <c r="I62" s="130"/>
      <c r="J62" s="130"/>
      <c r="K62" s="131"/>
      <c r="L62" s="130"/>
      <c r="M62" s="130"/>
      <c r="N62" s="130"/>
      <c r="O62" s="131"/>
      <c r="P62" s="132"/>
      <c r="Q62" s="173"/>
      <c r="R62" s="174"/>
      <c r="S62" s="174"/>
      <c r="T62" s="133"/>
      <c r="U62" s="133"/>
      <c r="V62" s="175"/>
    </row>
    <row r="63" spans="1:26" ht="12.75" x14ac:dyDescent="0.2">
      <c r="A63" s="180"/>
      <c r="B63" s="134"/>
      <c r="C63" s="135"/>
      <c r="D63" s="136"/>
      <c r="E63" s="137"/>
      <c r="F63" s="137"/>
      <c r="G63" s="138"/>
      <c r="H63" s="136"/>
      <c r="I63" s="137"/>
      <c r="J63" s="137"/>
      <c r="K63" s="138"/>
      <c r="L63" s="137"/>
      <c r="M63" s="137"/>
      <c r="N63" s="137"/>
      <c r="O63" s="138"/>
      <c r="P63" s="139"/>
      <c r="Q63" s="165"/>
      <c r="R63" s="159"/>
      <c r="S63" s="159"/>
      <c r="T63" s="140"/>
      <c r="U63" s="140"/>
      <c r="V63" s="159"/>
      <c r="W63" s="141"/>
      <c r="X63" s="141"/>
      <c r="Y63" s="141"/>
      <c r="Z63" s="141"/>
    </row>
    <row r="64" spans="1:26" ht="12.75" x14ac:dyDescent="0.2">
      <c r="A64" s="172">
        <v>32</v>
      </c>
      <c r="B64" s="127"/>
      <c r="C64" s="128"/>
      <c r="D64" s="129"/>
      <c r="E64" s="130"/>
      <c r="F64" s="130"/>
      <c r="G64" s="131"/>
      <c r="H64" s="129"/>
      <c r="I64" s="130"/>
      <c r="J64" s="130"/>
      <c r="K64" s="131"/>
      <c r="L64" s="130"/>
      <c r="M64" s="130"/>
      <c r="N64" s="130"/>
      <c r="O64" s="131"/>
      <c r="P64" s="132"/>
      <c r="Q64" s="173"/>
      <c r="R64" s="174"/>
      <c r="S64" s="174"/>
      <c r="T64" s="133"/>
      <c r="U64" s="133"/>
      <c r="V64" s="175"/>
    </row>
    <row r="65" spans="1:26" ht="12.75" x14ac:dyDescent="0.2">
      <c r="A65" s="180"/>
      <c r="B65" s="134"/>
      <c r="C65" s="135"/>
      <c r="D65" s="136"/>
      <c r="E65" s="137"/>
      <c r="F65" s="137"/>
      <c r="G65" s="138"/>
      <c r="H65" s="136"/>
      <c r="I65" s="137"/>
      <c r="J65" s="137"/>
      <c r="K65" s="138"/>
      <c r="L65" s="137"/>
      <c r="M65" s="137"/>
      <c r="N65" s="137"/>
      <c r="O65" s="138"/>
      <c r="P65" s="139"/>
      <c r="Q65" s="165"/>
      <c r="R65" s="159"/>
      <c r="S65" s="159"/>
      <c r="T65" s="140"/>
      <c r="U65" s="140"/>
      <c r="V65" s="159"/>
      <c r="W65" s="141"/>
      <c r="X65" s="141"/>
      <c r="Y65" s="141"/>
      <c r="Z65" s="141"/>
    </row>
    <row r="66" spans="1:26" ht="12.75" x14ac:dyDescent="0.2">
      <c r="A66" s="172">
        <v>33</v>
      </c>
      <c r="B66" s="127"/>
      <c r="C66" s="128"/>
      <c r="D66" s="129"/>
      <c r="E66" s="130"/>
      <c r="F66" s="130"/>
      <c r="G66" s="131"/>
      <c r="H66" s="129"/>
      <c r="I66" s="130"/>
      <c r="J66" s="130"/>
      <c r="K66" s="131"/>
      <c r="L66" s="130"/>
      <c r="M66" s="130"/>
      <c r="N66" s="130"/>
      <c r="O66" s="131"/>
      <c r="P66" s="132"/>
      <c r="Q66" s="173"/>
      <c r="R66" s="174"/>
      <c r="S66" s="174"/>
      <c r="T66" s="133"/>
      <c r="U66" s="133"/>
      <c r="V66" s="175"/>
    </row>
    <row r="67" spans="1:26" ht="12.75" x14ac:dyDescent="0.2">
      <c r="A67" s="180"/>
      <c r="B67" s="134"/>
      <c r="C67" s="135"/>
      <c r="D67" s="136"/>
      <c r="E67" s="137"/>
      <c r="F67" s="137"/>
      <c r="G67" s="138"/>
      <c r="H67" s="136"/>
      <c r="I67" s="137"/>
      <c r="J67" s="137"/>
      <c r="K67" s="138"/>
      <c r="L67" s="137"/>
      <c r="M67" s="137"/>
      <c r="N67" s="137"/>
      <c r="O67" s="138"/>
      <c r="P67" s="139"/>
      <c r="Q67" s="165"/>
      <c r="R67" s="159"/>
      <c r="S67" s="159"/>
      <c r="T67" s="140"/>
      <c r="U67" s="140"/>
      <c r="V67" s="159"/>
      <c r="W67" s="141"/>
      <c r="X67" s="141"/>
      <c r="Y67" s="141"/>
      <c r="Z67" s="141"/>
    </row>
    <row r="68" spans="1:26" ht="12.75" x14ac:dyDescent="0.2">
      <c r="A68" s="172">
        <v>34</v>
      </c>
      <c r="B68" s="127"/>
      <c r="C68" s="128"/>
      <c r="D68" s="129"/>
      <c r="E68" s="130"/>
      <c r="F68" s="130"/>
      <c r="G68" s="131"/>
      <c r="H68" s="129"/>
      <c r="I68" s="130"/>
      <c r="J68" s="130"/>
      <c r="K68" s="131"/>
      <c r="L68" s="130"/>
      <c r="M68" s="130"/>
      <c r="N68" s="130"/>
      <c r="O68" s="131"/>
      <c r="P68" s="132"/>
      <c r="Q68" s="173"/>
      <c r="R68" s="174"/>
      <c r="S68" s="174"/>
      <c r="T68" s="133"/>
      <c r="U68" s="133"/>
      <c r="V68" s="175"/>
    </row>
    <row r="69" spans="1:26" ht="12.75" x14ac:dyDescent="0.2">
      <c r="A69" s="180"/>
      <c r="B69" s="134"/>
      <c r="C69" s="135"/>
      <c r="D69" s="136"/>
      <c r="E69" s="137"/>
      <c r="F69" s="137"/>
      <c r="G69" s="138"/>
      <c r="H69" s="136"/>
      <c r="I69" s="137"/>
      <c r="J69" s="137"/>
      <c r="K69" s="138"/>
      <c r="L69" s="137"/>
      <c r="M69" s="137"/>
      <c r="N69" s="137"/>
      <c r="O69" s="138"/>
      <c r="P69" s="139"/>
      <c r="Q69" s="165"/>
      <c r="R69" s="159"/>
      <c r="S69" s="159"/>
      <c r="T69" s="140"/>
      <c r="U69" s="140"/>
      <c r="V69" s="159"/>
      <c r="W69" s="141"/>
      <c r="X69" s="141"/>
      <c r="Y69" s="141"/>
      <c r="Z69" s="141"/>
    </row>
    <row r="70" spans="1:26" ht="12.75" x14ac:dyDescent="0.2">
      <c r="A70" s="172">
        <v>35</v>
      </c>
      <c r="B70" s="127"/>
      <c r="C70" s="128"/>
      <c r="D70" s="129"/>
      <c r="E70" s="130"/>
      <c r="F70" s="130"/>
      <c r="G70" s="131"/>
      <c r="H70" s="129"/>
      <c r="I70" s="130"/>
      <c r="J70" s="130"/>
      <c r="K70" s="131"/>
      <c r="L70" s="130"/>
      <c r="M70" s="130"/>
      <c r="N70" s="130"/>
      <c r="O70" s="131"/>
      <c r="P70" s="132"/>
      <c r="Q70" s="173"/>
      <c r="R70" s="174"/>
      <c r="S70" s="174"/>
      <c r="T70" s="133"/>
      <c r="U70" s="133"/>
      <c r="V70" s="175"/>
    </row>
    <row r="71" spans="1:26" ht="12.75" x14ac:dyDescent="0.2">
      <c r="A71" s="180"/>
      <c r="B71" s="134"/>
      <c r="C71" s="135"/>
      <c r="D71" s="136"/>
      <c r="E71" s="137"/>
      <c r="F71" s="137"/>
      <c r="G71" s="138"/>
      <c r="H71" s="136"/>
      <c r="I71" s="137"/>
      <c r="J71" s="137"/>
      <c r="K71" s="138"/>
      <c r="L71" s="137"/>
      <c r="M71" s="137"/>
      <c r="N71" s="137"/>
      <c r="O71" s="138"/>
      <c r="P71" s="139"/>
      <c r="Q71" s="165"/>
      <c r="R71" s="159"/>
      <c r="S71" s="159"/>
      <c r="T71" s="140"/>
      <c r="U71" s="140"/>
      <c r="V71" s="159"/>
      <c r="W71" s="141"/>
      <c r="X71" s="141"/>
      <c r="Y71" s="141"/>
      <c r="Z71" s="141"/>
    </row>
    <row r="72" spans="1:26" ht="12.75" x14ac:dyDescent="0.2">
      <c r="A72" s="172">
        <v>36</v>
      </c>
      <c r="B72" s="127"/>
      <c r="C72" s="128"/>
      <c r="D72" s="129"/>
      <c r="E72" s="130"/>
      <c r="F72" s="130"/>
      <c r="G72" s="131"/>
      <c r="H72" s="129"/>
      <c r="I72" s="130"/>
      <c r="J72" s="130"/>
      <c r="K72" s="131"/>
      <c r="L72" s="130"/>
      <c r="M72" s="130"/>
      <c r="N72" s="130"/>
      <c r="O72" s="131"/>
      <c r="P72" s="132"/>
      <c r="Q72" s="173"/>
      <c r="R72" s="174"/>
      <c r="S72" s="174"/>
      <c r="T72" s="133"/>
      <c r="U72" s="133"/>
      <c r="V72" s="175"/>
    </row>
    <row r="73" spans="1:26" ht="12.75" x14ac:dyDescent="0.2">
      <c r="A73" s="180"/>
      <c r="B73" s="134"/>
      <c r="C73" s="135"/>
      <c r="D73" s="136"/>
      <c r="E73" s="137"/>
      <c r="F73" s="137"/>
      <c r="G73" s="138"/>
      <c r="H73" s="136"/>
      <c r="I73" s="137"/>
      <c r="J73" s="137"/>
      <c r="K73" s="138"/>
      <c r="L73" s="137"/>
      <c r="M73" s="137"/>
      <c r="N73" s="137"/>
      <c r="O73" s="138"/>
      <c r="P73" s="139"/>
      <c r="Q73" s="165"/>
      <c r="R73" s="159"/>
      <c r="S73" s="159"/>
      <c r="T73" s="140"/>
      <c r="U73" s="140"/>
      <c r="V73" s="159"/>
      <c r="W73" s="141"/>
      <c r="X73" s="141"/>
      <c r="Y73" s="141"/>
      <c r="Z73" s="141"/>
    </row>
    <row r="74" spans="1:26" ht="12.75" x14ac:dyDescent="0.2">
      <c r="A74" s="172">
        <v>37</v>
      </c>
      <c r="B74" s="127"/>
      <c r="C74" s="128"/>
      <c r="D74" s="129"/>
      <c r="E74" s="130"/>
      <c r="F74" s="130"/>
      <c r="G74" s="131"/>
      <c r="H74" s="129"/>
      <c r="I74" s="130"/>
      <c r="J74" s="130"/>
      <c r="K74" s="131"/>
      <c r="L74" s="130"/>
      <c r="M74" s="130"/>
      <c r="N74" s="130"/>
      <c r="O74" s="131"/>
      <c r="P74" s="132"/>
      <c r="Q74" s="173"/>
      <c r="R74" s="174"/>
      <c r="S74" s="174"/>
      <c r="T74" s="133"/>
      <c r="U74" s="133"/>
      <c r="V74" s="175"/>
    </row>
    <row r="75" spans="1:26" ht="12.75" x14ac:dyDescent="0.2">
      <c r="A75" s="180"/>
      <c r="B75" s="134"/>
      <c r="C75" s="135"/>
      <c r="D75" s="136"/>
      <c r="E75" s="137"/>
      <c r="F75" s="137"/>
      <c r="G75" s="138"/>
      <c r="H75" s="136"/>
      <c r="I75" s="137"/>
      <c r="J75" s="137"/>
      <c r="K75" s="138"/>
      <c r="L75" s="137"/>
      <c r="M75" s="137"/>
      <c r="N75" s="137"/>
      <c r="O75" s="138"/>
      <c r="P75" s="139"/>
      <c r="Q75" s="165"/>
      <c r="R75" s="159"/>
      <c r="S75" s="159"/>
      <c r="T75" s="140"/>
      <c r="U75" s="140"/>
      <c r="V75" s="159"/>
      <c r="W75" s="141"/>
      <c r="X75" s="141"/>
      <c r="Y75" s="141"/>
      <c r="Z75" s="141"/>
    </row>
    <row r="76" spans="1:26" ht="12.75" x14ac:dyDescent="0.2">
      <c r="A76" s="172">
        <v>38</v>
      </c>
      <c r="B76" s="127"/>
      <c r="C76" s="128"/>
      <c r="D76" s="129"/>
      <c r="E76" s="130"/>
      <c r="F76" s="130"/>
      <c r="G76" s="131"/>
      <c r="H76" s="129"/>
      <c r="I76" s="130"/>
      <c r="J76" s="130"/>
      <c r="K76" s="131"/>
      <c r="L76" s="130"/>
      <c r="M76" s="130"/>
      <c r="N76" s="130"/>
      <c r="O76" s="131"/>
      <c r="P76" s="132"/>
      <c r="Q76" s="173"/>
      <c r="R76" s="174"/>
      <c r="S76" s="174"/>
      <c r="T76" s="133"/>
      <c r="U76" s="133"/>
      <c r="V76" s="175"/>
    </row>
    <row r="77" spans="1:26" ht="12.75" x14ac:dyDescent="0.2">
      <c r="A77" s="180"/>
      <c r="B77" s="134"/>
      <c r="C77" s="135"/>
      <c r="D77" s="136"/>
      <c r="E77" s="137"/>
      <c r="F77" s="137"/>
      <c r="G77" s="138"/>
      <c r="H77" s="136"/>
      <c r="I77" s="137"/>
      <c r="J77" s="137"/>
      <c r="K77" s="138"/>
      <c r="L77" s="137"/>
      <c r="M77" s="137"/>
      <c r="N77" s="137"/>
      <c r="O77" s="138"/>
      <c r="P77" s="139"/>
      <c r="Q77" s="165"/>
      <c r="R77" s="159"/>
      <c r="S77" s="159"/>
      <c r="T77" s="140"/>
      <c r="U77" s="140"/>
      <c r="V77" s="159"/>
      <c r="W77" s="141"/>
      <c r="X77" s="141"/>
      <c r="Y77" s="141"/>
      <c r="Z77" s="141"/>
    </row>
    <row r="78" spans="1:26" ht="12.75" x14ac:dyDescent="0.2">
      <c r="A78" s="172">
        <v>39</v>
      </c>
      <c r="B78" s="127"/>
      <c r="C78" s="128"/>
      <c r="D78" s="129"/>
      <c r="E78" s="130"/>
      <c r="F78" s="130"/>
      <c r="G78" s="131"/>
      <c r="H78" s="129"/>
      <c r="I78" s="130"/>
      <c r="J78" s="130"/>
      <c r="K78" s="131"/>
      <c r="L78" s="130"/>
      <c r="M78" s="130"/>
      <c r="N78" s="130"/>
      <c r="O78" s="131"/>
      <c r="P78" s="132"/>
      <c r="Q78" s="173"/>
      <c r="R78" s="174"/>
      <c r="S78" s="174"/>
      <c r="T78" s="133"/>
      <c r="U78" s="133"/>
      <c r="V78" s="175"/>
    </row>
    <row r="79" spans="1:26" ht="12.75" x14ac:dyDescent="0.2">
      <c r="A79" s="180"/>
      <c r="B79" s="134"/>
      <c r="C79" s="135"/>
      <c r="D79" s="136"/>
      <c r="E79" s="137"/>
      <c r="F79" s="137"/>
      <c r="G79" s="138"/>
      <c r="H79" s="136"/>
      <c r="I79" s="137"/>
      <c r="J79" s="137"/>
      <c r="K79" s="138"/>
      <c r="L79" s="137"/>
      <c r="M79" s="137"/>
      <c r="N79" s="137"/>
      <c r="O79" s="138"/>
      <c r="P79" s="139"/>
      <c r="Q79" s="165"/>
      <c r="R79" s="159"/>
      <c r="S79" s="159"/>
      <c r="T79" s="140"/>
      <c r="U79" s="140"/>
      <c r="V79" s="159"/>
      <c r="W79" s="141"/>
      <c r="X79" s="141"/>
      <c r="Y79" s="141"/>
      <c r="Z79" s="141"/>
    </row>
    <row r="80" spans="1:26" ht="12.75" x14ac:dyDescent="0.2">
      <c r="A80" s="172">
        <v>40</v>
      </c>
      <c r="B80" s="127"/>
      <c r="C80" s="128"/>
      <c r="D80" s="129"/>
      <c r="E80" s="130"/>
      <c r="F80" s="130"/>
      <c r="G80" s="131"/>
      <c r="H80" s="129"/>
      <c r="I80" s="130"/>
      <c r="J80" s="130"/>
      <c r="K80" s="131"/>
      <c r="L80" s="130"/>
      <c r="M80" s="130"/>
      <c r="N80" s="130"/>
      <c r="O80" s="131"/>
      <c r="P80" s="132"/>
      <c r="Q80" s="173"/>
      <c r="R80" s="174"/>
      <c r="S80" s="174"/>
      <c r="T80" s="133"/>
      <c r="U80" s="133"/>
      <c r="V80" s="175"/>
    </row>
    <row r="81" spans="1:26" ht="12.75" x14ac:dyDescent="0.2">
      <c r="A81" s="165"/>
      <c r="B81" s="134"/>
      <c r="C81" s="135"/>
      <c r="D81" s="136"/>
      <c r="E81" s="137"/>
      <c r="F81" s="137"/>
      <c r="G81" s="138"/>
      <c r="H81" s="137"/>
      <c r="I81" s="137"/>
      <c r="J81" s="137"/>
      <c r="K81" s="138"/>
      <c r="L81" s="137"/>
      <c r="M81" s="137"/>
      <c r="N81" s="137"/>
      <c r="O81" s="138"/>
      <c r="P81" s="139"/>
      <c r="Q81" s="165"/>
      <c r="R81" s="159"/>
      <c r="S81" s="159"/>
      <c r="T81" s="140"/>
      <c r="U81" s="140"/>
      <c r="V81" s="159"/>
      <c r="W81" s="141"/>
      <c r="X81" s="141"/>
      <c r="Y81" s="141"/>
      <c r="Z81" s="141"/>
    </row>
  </sheetData>
  <mergeCells count="200">
    <mergeCell ref="A52:A53"/>
    <mergeCell ref="Q52:Q53"/>
    <mergeCell ref="R52:R53"/>
    <mergeCell ref="S52:S53"/>
    <mergeCell ref="V52:V53"/>
    <mergeCell ref="Q54:Q55"/>
    <mergeCell ref="V54:V55"/>
    <mergeCell ref="R50:R51"/>
    <mergeCell ref="S50:S51"/>
    <mergeCell ref="A54:A55"/>
    <mergeCell ref="A56:A57"/>
    <mergeCell ref="Q56:Q57"/>
    <mergeCell ref="R56:R57"/>
    <mergeCell ref="S56:S57"/>
    <mergeCell ref="V56:V57"/>
    <mergeCell ref="Q58:Q59"/>
    <mergeCell ref="V58:V59"/>
    <mergeCell ref="R54:R55"/>
    <mergeCell ref="S54:S55"/>
    <mergeCell ref="A58:A59"/>
    <mergeCell ref="A60:A61"/>
    <mergeCell ref="Q60:Q61"/>
    <mergeCell ref="R60:R61"/>
    <mergeCell ref="S60:S61"/>
    <mergeCell ref="V60:V61"/>
    <mergeCell ref="Q62:Q63"/>
    <mergeCell ref="V62:V63"/>
    <mergeCell ref="R58:R59"/>
    <mergeCell ref="S58:S59"/>
    <mergeCell ref="A62:A63"/>
    <mergeCell ref="A64:A65"/>
    <mergeCell ref="Q64:Q65"/>
    <mergeCell ref="R64:R65"/>
    <mergeCell ref="S64:S65"/>
    <mergeCell ref="V64:V65"/>
    <mergeCell ref="Q66:Q67"/>
    <mergeCell ref="V66:V67"/>
    <mergeCell ref="R62:R63"/>
    <mergeCell ref="S62:S63"/>
    <mergeCell ref="A66:A67"/>
    <mergeCell ref="A68:A69"/>
    <mergeCell ref="Q68:Q69"/>
    <mergeCell ref="R68:R69"/>
    <mergeCell ref="S68:S69"/>
    <mergeCell ref="V68:V69"/>
    <mergeCell ref="Q70:Q71"/>
    <mergeCell ref="V70:V71"/>
    <mergeCell ref="R66:R67"/>
    <mergeCell ref="S66:S67"/>
    <mergeCell ref="A70:A71"/>
    <mergeCell ref="A72:A73"/>
    <mergeCell ref="Q72:Q73"/>
    <mergeCell ref="R72:R73"/>
    <mergeCell ref="S72:S73"/>
    <mergeCell ref="V72:V73"/>
    <mergeCell ref="Q74:Q75"/>
    <mergeCell ref="V74:V75"/>
    <mergeCell ref="R70:R71"/>
    <mergeCell ref="S70:S71"/>
    <mergeCell ref="R78:R79"/>
    <mergeCell ref="S78:S79"/>
    <mergeCell ref="A74:A75"/>
    <mergeCell ref="A76:A77"/>
    <mergeCell ref="Q76:Q77"/>
    <mergeCell ref="R76:R77"/>
    <mergeCell ref="S76:S77"/>
    <mergeCell ref="V76:V77"/>
    <mergeCell ref="Q78:Q79"/>
    <mergeCell ref="V78:V79"/>
    <mergeCell ref="A78:A79"/>
    <mergeCell ref="R74:R75"/>
    <mergeCell ref="S74:S75"/>
    <mergeCell ref="V6:V7"/>
    <mergeCell ref="Q8:Q9"/>
    <mergeCell ref="R8:R9"/>
    <mergeCell ref="S8:S9"/>
    <mergeCell ref="Q10:Q11"/>
    <mergeCell ref="R10:R11"/>
    <mergeCell ref="S10:S11"/>
    <mergeCell ref="A2:A3"/>
    <mergeCell ref="Q2:Q3"/>
    <mergeCell ref="R2:R3"/>
    <mergeCell ref="S2:S3"/>
    <mergeCell ref="V2:V3"/>
    <mergeCell ref="Q4:Q5"/>
    <mergeCell ref="V4:V5"/>
    <mergeCell ref="R4:R5"/>
    <mergeCell ref="S4:S5"/>
    <mergeCell ref="R12:R13"/>
    <mergeCell ref="S12:S13"/>
    <mergeCell ref="A4:A5"/>
    <mergeCell ref="A6:A7"/>
    <mergeCell ref="A8:A9"/>
    <mergeCell ref="A10:A11"/>
    <mergeCell ref="A12:A13"/>
    <mergeCell ref="A14:A15"/>
    <mergeCell ref="A16:A17"/>
    <mergeCell ref="R14:R15"/>
    <mergeCell ref="S14:S15"/>
    <mergeCell ref="R16:R17"/>
    <mergeCell ref="S16:S17"/>
    <mergeCell ref="Q6:Q7"/>
    <mergeCell ref="R6:R7"/>
    <mergeCell ref="S6:S7"/>
    <mergeCell ref="A18:A19"/>
    <mergeCell ref="A20:A21"/>
    <mergeCell ref="A22:A23"/>
    <mergeCell ref="A24:A25"/>
    <mergeCell ref="A26:A27"/>
    <mergeCell ref="A28:A29"/>
    <mergeCell ref="A30:A31"/>
    <mergeCell ref="Q12:Q13"/>
    <mergeCell ref="Q14:Q15"/>
    <mergeCell ref="Q16:Q17"/>
    <mergeCell ref="Q24:Q25"/>
    <mergeCell ref="A80:A81"/>
    <mergeCell ref="Q80:Q81"/>
    <mergeCell ref="R80:R81"/>
    <mergeCell ref="S80:S81"/>
    <mergeCell ref="V80:V81"/>
    <mergeCell ref="A32:A33"/>
    <mergeCell ref="A34:A35"/>
    <mergeCell ref="A36:A37"/>
    <mergeCell ref="A38:A39"/>
    <mergeCell ref="A40:A41"/>
    <mergeCell ref="A42:A43"/>
    <mergeCell ref="A44:A45"/>
    <mergeCell ref="Q38:Q39"/>
    <mergeCell ref="Q40:Q41"/>
    <mergeCell ref="R40:R41"/>
    <mergeCell ref="S40:S41"/>
    <mergeCell ref="Q36:Q37"/>
    <mergeCell ref="R36:R37"/>
    <mergeCell ref="S36:S37"/>
    <mergeCell ref="V36:V37"/>
    <mergeCell ref="R38:R39"/>
    <mergeCell ref="S38:S39"/>
    <mergeCell ref="V38:V39"/>
    <mergeCell ref="V40:V41"/>
    <mergeCell ref="R22:R23"/>
    <mergeCell ref="S22:S23"/>
    <mergeCell ref="Q18:Q19"/>
    <mergeCell ref="R18:R19"/>
    <mergeCell ref="S18:S19"/>
    <mergeCell ref="Q20:Q21"/>
    <mergeCell ref="R20:R21"/>
    <mergeCell ref="S20:S21"/>
    <mergeCell ref="Q22:Q23"/>
    <mergeCell ref="V22:V23"/>
    <mergeCell ref="V24:V25"/>
    <mergeCell ref="V8:V9"/>
    <mergeCell ref="V10:V11"/>
    <mergeCell ref="V12:V13"/>
    <mergeCell ref="V14:V15"/>
    <mergeCell ref="V16:V17"/>
    <mergeCell ref="V18:V19"/>
    <mergeCell ref="V20:V21"/>
    <mergeCell ref="R24:R25"/>
    <mergeCell ref="S24:S25"/>
    <mergeCell ref="Q26:Q27"/>
    <mergeCell ref="R26:R27"/>
    <mergeCell ref="S26:S27"/>
    <mergeCell ref="V26:V27"/>
    <mergeCell ref="Q28:Q29"/>
    <mergeCell ref="R28:R29"/>
    <mergeCell ref="S28:S29"/>
    <mergeCell ref="V28:V29"/>
    <mergeCell ref="Q42:Q43"/>
    <mergeCell ref="R42:R43"/>
    <mergeCell ref="S42:S43"/>
    <mergeCell ref="V42:V43"/>
    <mergeCell ref="R44:R45"/>
    <mergeCell ref="S44:S45"/>
    <mergeCell ref="V44:V45"/>
    <mergeCell ref="V46:V47"/>
    <mergeCell ref="R30:R31"/>
    <mergeCell ref="S30:S31"/>
    <mergeCell ref="V30:V31"/>
    <mergeCell ref="V32:V33"/>
    <mergeCell ref="V34:V35"/>
    <mergeCell ref="Q30:Q31"/>
    <mergeCell ref="Q32:Q33"/>
    <mergeCell ref="R32:R33"/>
    <mergeCell ref="S32:S33"/>
    <mergeCell ref="Q34:Q35"/>
    <mergeCell ref="R34:R35"/>
    <mergeCell ref="S34:S35"/>
    <mergeCell ref="A46:A47"/>
    <mergeCell ref="A48:A49"/>
    <mergeCell ref="Q48:Q49"/>
    <mergeCell ref="R48:R49"/>
    <mergeCell ref="S48:S49"/>
    <mergeCell ref="V48:V49"/>
    <mergeCell ref="Q50:Q51"/>
    <mergeCell ref="V50:V51"/>
    <mergeCell ref="Q44:Q45"/>
    <mergeCell ref="Q46:Q47"/>
    <mergeCell ref="R46:R47"/>
    <mergeCell ref="S46:S47"/>
    <mergeCell ref="A50:A51"/>
  </mergeCells>
  <conditionalFormatting sqref="Q1:Q1000">
    <cfRule type="cellIs" dxfId="38" priority="1" operator="between">
      <formula>900</formula>
      <formula>999</formula>
    </cfRule>
    <cfRule type="cellIs" dxfId="37" priority="2" operator="between">
      <formula>800</formula>
      <formula>900</formula>
    </cfRule>
    <cfRule type="cellIs" dxfId="36" priority="5" operator="greaterThanOrEqual">
      <formula>1000</formula>
    </cfRule>
  </conditionalFormatting>
  <conditionalFormatting sqref="V1:V1000">
    <cfRule type="cellIs" dxfId="35" priority="3" operator="equal">
      <formula>"Š"</formula>
    </cfRule>
    <cfRule type="cellIs" dxfId="34" priority="4" operator="equal">
      <formula>"TV"</formula>
    </cfRule>
  </conditionalFormatting>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A81"/>
  <sheetViews>
    <sheetView workbookViewId="0">
      <pane ySplit="1" topLeftCell="A2" activePane="bottomLeft" state="frozen"/>
      <selection activeCell="B3" sqref="B3"/>
      <selection pane="bottomLeft" activeCell="B3" sqref="B3"/>
    </sheetView>
  </sheetViews>
  <sheetFormatPr defaultColWidth="12.5703125" defaultRowHeight="15" customHeight="1" x14ac:dyDescent="0.2"/>
  <cols>
    <col min="1" max="1" width="6.5703125" customWidth="1"/>
    <col min="2" max="2" width="16.85546875" customWidth="1"/>
    <col min="3" max="3" width="14.85546875" customWidth="1"/>
    <col min="4" max="11" width="6.42578125" hidden="1" customWidth="1"/>
    <col min="12" max="15" width="6.42578125" customWidth="1"/>
    <col min="16" max="16" width="7.5703125" hidden="1" customWidth="1"/>
    <col min="17" max="17" width="7.5703125" customWidth="1"/>
    <col min="18" max="19" width="6.42578125" customWidth="1"/>
    <col min="20" max="21" width="6.42578125" hidden="1" customWidth="1"/>
    <col min="22" max="22" width="6.42578125" customWidth="1"/>
    <col min="23" max="24" width="6.42578125" hidden="1" customWidth="1"/>
    <col min="25" max="26" width="12.5703125" hidden="1"/>
  </cols>
  <sheetData>
    <row r="1" spans="1:27" ht="50.25" customHeight="1" x14ac:dyDescent="0.2">
      <c r="A1" s="101" t="s">
        <v>150</v>
      </c>
      <c r="B1" s="102" t="str">
        <f ca="1">IFERROR(__xludf.DUMMYFUNCTION("QUERY('2025'!C1:AB1000, ""SELECT * WHERE AA = 'Ž' AND Y = 'R' ORDER BY Q DESC, U DESC"", 1)
"),"Jméno")</f>
        <v>Jméno</v>
      </c>
      <c r="C1" s="103" t="str">
        <f ca="1">IFERROR(__xludf.DUMMYFUNCTION("""COMPUTED_VALUE"""),"oddíl")</f>
        <v>oddíl</v>
      </c>
      <c r="D1" s="104" t="str">
        <f ca="1">IFERROR(__xludf.DUMMYFUNCTION("""COMPUTED_VALUE"""),"")</f>
        <v/>
      </c>
      <c r="E1" s="104" t="str">
        <f ca="1">IFERROR(__xludf.DUMMYFUNCTION("""COMPUTED_VALUE"""),"")</f>
        <v/>
      </c>
      <c r="F1" s="104" t="str">
        <f ca="1">IFERROR(__xludf.DUMMYFUNCTION("""COMPUTED_VALUE"""),"")</f>
        <v/>
      </c>
      <c r="G1" s="104" t="str">
        <f ca="1">IFERROR(__xludf.DUMMYFUNCTION("""COMPUTED_VALUE"""),"")</f>
        <v/>
      </c>
      <c r="H1" s="104" t="str">
        <f ca="1">IFERROR(__xludf.DUMMYFUNCTION("""COMPUTED_VALUE"""),"")</f>
        <v/>
      </c>
      <c r="I1" s="104" t="str">
        <f ca="1">IFERROR(__xludf.DUMMYFUNCTION("""COMPUTED_VALUE"""),"")</f>
        <v/>
      </c>
      <c r="J1" s="104" t="str">
        <f ca="1">IFERROR(__xludf.DUMMYFUNCTION("""COMPUTED_VALUE"""),"")</f>
        <v/>
      </c>
      <c r="K1" s="104" t="str">
        <f ca="1">IFERROR(__xludf.DUMMYFUNCTION("""COMPUTED_VALUE"""),"")</f>
        <v/>
      </c>
      <c r="L1" s="105" t="str">
        <f ca="1">IFERROR(__xludf.DUMMYFUNCTION("""COMPUTED_VALUE"""),"Plné")</f>
        <v>Plné</v>
      </c>
      <c r="M1" s="105" t="str">
        <f ca="1">IFERROR(__xludf.DUMMYFUNCTION("""COMPUTED_VALUE"""),"Dorážka")</f>
        <v>Dorážka</v>
      </c>
      <c r="N1" s="105" t="str">
        <f ca="1">IFERROR(__xludf.DUMMYFUNCTION("""COMPUTED_VALUE"""),"Chyby")</f>
        <v>Chyby</v>
      </c>
      <c r="O1" s="106" t="str">
        <f ca="1">IFERROR(__xludf.DUMMYFUNCTION("""COMPUTED_VALUE"""),"Celkem")</f>
        <v>Celkem</v>
      </c>
      <c r="P1" s="105" t="str">
        <f ca="1">IFERROR(__xludf.DUMMYFUNCTION("""COMPUTED_VALUE"""),"Celkem dvojice")</f>
        <v>Celkem dvojice</v>
      </c>
      <c r="Q1" s="107" t="str">
        <f ca="1">IFERROR(__xludf.DUMMYFUNCTION("""COMPUTED_VALUE"""),"Celkem dvojice")</f>
        <v>Celkem dvojice</v>
      </c>
      <c r="R1" s="108" t="str">
        <f ca="1">IFERROR(__xludf.DUMMYFUNCTION("""COMPUTED_VALUE"""),"Dorážka dvojice")</f>
        <v>Dorážka dvojice</v>
      </c>
      <c r="S1" s="108" t="str">
        <f ca="1">IFERROR(__xludf.DUMMYFUNCTION("""COMPUTED_VALUE"""),"Chyby dvojice")</f>
        <v>Chyby dvojice</v>
      </c>
      <c r="T1" s="109" t="str">
        <f ca="1">IFERROR(__xludf.DUMMYFUNCTION("""COMPUTED_VALUE"""),"")</f>
        <v/>
      </c>
      <c r="U1" s="109" t="str">
        <f ca="1">IFERROR(__xludf.DUMMYFUNCTION("""COMPUTED_VALUE"""),"")</f>
        <v/>
      </c>
      <c r="V1" s="110" t="str">
        <f ca="1">IFERROR(__xludf.DUMMYFUNCTION("""COMPUTED_VALUE"""),"Turné Vysočina")</f>
        <v>Turné Vysočina</v>
      </c>
      <c r="W1" s="111" t="str">
        <f ca="1">IFERROR(__xludf.DUMMYFUNCTION("""COMPUTED_VALUE"""),"")</f>
        <v/>
      </c>
      <c r="X1" s="111" t="str">
        <f ca="1">IFERROR(__xludf.DUMMYFUNCTION("""COMPUTED_VALUE"""),"")</f>
        <v/>
      </c>
      <c r="Y1" s="112" t="str">
        <f ca="1">IFERROR(__xludf.DUMMYFUNCTION("""COMPUTED_VALUE"""),"")</f>
        <v/>
      </c>
      <c r="Z1" s="112" t="str">
        <f ca="1">IFERROR(__xludf.DUMMYFUNCTION("""COMPUTED_VALUE"""),"")</f>
        <v/>
      </c>
      <c r="AA1" s="8" t="str">
        <f ca="1">IFERROR(__xludf.DUMMYFUNCTION("""COMPUTED_VALUE"""),"")</f>
        <v/>
      </c>
    </row>
    <row r="2" spans="1:27" ht="12.75" x14ac:dyDescent="0.2">
      <c r="A2" s="176">
        <v>1</v>
      </c>
      <c r="B2" s="113" t="str">
        <f ca="1">IFERROR(__xludf.DUMMYFUNCTION("""COMPUTED_VALUE"""),"Svobodová Petra")</f>
        <v>Svobodová Petra</v>
      </c>
      <c r="C2" s="114" t="str">
        <f ca="1">IFERROR(__xludf.DUMMYFUNCTION("""COMPUTED_VALUE"""),"Nové Město na Moravě")</f>
        <v>Nové Město na Moravě</v>
      </c>
      <c r="D2" s="115">
        <f ca="1">IFERROR(__xludf.DUMMYFUNCTION("""COMPUTED_VALUE"""),147)</f>
        <v>147</v>
      </c>
      <c r="E2" s="116">
        <f ca="1">IFERROR(__xludf.DUMMYFUNCTION("""COMPUTED_VALUE"""),59)</f>
        <v>59</v>
      </c>
      <c r="F2" s="116">
        <f ca="1">IFERROR(__xludf.DUMMYFUNCTION("""COMPUTED_VALUE"""),4)</f>
        <v>4</v>
      </c>
      <c r="G2" s="117">
        <f ca="1">IFERROR(__xludf.DUMMYFUNCTION("""COMPUTED_VALUE"""),206)</f>
        <v>206</v>
      </c>
      <c r="H2" s="115">
        <f ca="1">IFERROR(__xludf.DUMMYFUNCTION("""COMPUTED_VALUE"""),137)</f>
        <v>137</v>
      </c>
      <c r="I2" s="116">
        <f ca="1">IFERROR(__xludf.DUMMYFUNCTION("""COMPUTED_VALUE"""),78)</f>
        <v>78</v>
      </c>
      <c r="J2" s="116">
        <f ca="1">IFERROR(__xludf.DUMMYFUNCTION("""COMPUTED_VALUE"""),1)</f>
        <v>1</v>
      </c>
      <c r="K2" s="117">
        <f ca="1">IFERROR(__xludf.DUMMYFUNCTION("""COMPUTED_VALUE"""),215)</f>
        <v>215</v>
      </c>
      <c r="L2" s="116">
        <f ca="1">IFERROR(__xludf.DUMMYFUNCTION("""COMPUTED_VALUE"""),284)</f>
        <v>284</v>
      </c>
      <c r="M2" s="116">
        <f ca="1">IFERROR(__xludf.DUMMYFUNCTION("""COMPUTED_VALUE"""),137)</f>
        <v>137</v>
      </c>
      <c r="N2" s="116">
        <f ca="1">IFERROR(__xludf.DUMMYFUNCTION("""COMPUTED_VALUE"""),5)</f>
        <v>5</v>
      </c>
      <c r="O2" s="117">
        <f ca="1">IFERROR(__xludf.DUMMYFUNCTION("""COMPUTED_VALUE"""),421)</f>
        <v>421</v>
      </c>
      <c r="P2" s="116">
        <f ca="1">IFERROR(__xludf.DUMMYFUNCTION("""COMPUTED_VALUE"""),801)</f>
        <v>801</v>
      </c>
      <c r="Q2" s="177">
        <f ca="1">IFERROR(__xludf.DUMMYFUNCTION("""COMPUTED_VALUE"""),801)</f>
        <v>801</v>
      </c>
      <c r="R2" s="178">
        <f ca="1">IFERROR(__xludf.DUMMYFUNCTION("""COMPUTED_VALUE"""),228)</f>
        <v>228</v>
      </c>
      <c r="S2" s="178">
        <f ca="1">IFERROR(__xludf.DUMMYFUNCTION("""COMPUTED_VALUE"""),18)</f>
        <v>18</v>
      </c>
      <c r="T2" s="118">
        <f ca="1">IFERROR(__xludf.DUMMYFUNCTION("""COMPUTED_VALUE"""),228)</f>
        <v>228</v>
      </c>
      <c r="U2" s="118">
        <f ca="1">IFERROR(__xludf.DUMMYFUNCTION("""COMPUTED_VALUE"""),18)</f>
        <v>18</v>
      </c>
      <c r="V2" s="179" t="str">
        <f ca="1">IFERROR(__xludf.DUMMYFUNCTION("""COMPUTED_VALUE"""),"Š")</f>
        <v>Š</v>
      </c>
      <c r="W2" s="119" t="str">
        <f ca="1">IFERROR(__xludf.DUMMYFUNCTION("""COMPUTED_VALUE"""),"Š")</f>
        <v>Š</v>
      </c>
      <c r="X2" s="119" t="str">
        <f ca="1">IFERROR(__xludf.DUMMYFUNCTION("""COMPUTED_VALUE"""),"R")</f>
        <v>R</v>
      </c>
      <c r="Y2" s="119" t="str">
        <f ca="1">IFERROR(__xludf.DUMMYFUNCTION("""COMPUTED_VALUE"""),"R")</f>
        <v>R</v>
      </c>
      <c r="Z2" s="119" t="str">
        <f ca="1">IFERROR(__xludf.DUMMYFUNCTION("""COMPUTED_VALUE"""),"Ž")</f>
        <v>Ž</v>
      </c>
      <c r="AA2" s="119" t="str">
        <f ca="1">IFERROR(__xludf.DUMMYFUNCTION("""COMPUTED_VALUE"""),"Ž")</f>
        <v>Ž</v>
      </c>
    </row>
    <row r="3" spans="1:27" ht="12.75" x14ac:dyDescent="0.2">
      <c r="A3" s="165"/>
      <c r="B3" s="120" t="str">
        <f ca="1">IFERROR(__xludf.DUMMYFUNCTION("""COMPUTED_VALUE"""),"Kuběnová Libuše")</f>
        <v>Kuběnová Libuše</v>
      </c>
      <c r="C3" s="121" t="str">
        <f ca="1">IFERROR(__xludf.DUMMYFUNCTION("""COMPUTED_VALUE"""),"Nové Město na Moravě")</f>
        <v>Nové Město na Moravě</v>
      </c>
      <c r="D3" s="122">
        <f ca="1">IFERROR(__xludf.DUMMYFUNCTION("""COMPUTED_VALUE"""),113)</f>
        <v>113</v>
      </c>
      <c r="E3" s="123">
        <f ca="1">IFERROR(__xludf.DUMMYFUNCTION("""COMPUTED_VALUE"""),45)</f>
        <v>45</v>
      </c>
      <c r="F3" s="123">
        <f ca="1">IFERROR(__xludf.DUMMYFUNCTION("""COMPUTED_VALUE"""),7)</f>
        <v>7</v>
      </c>
      <c r="G3" s="124">
        <f ca="1">IFERROR(__xludf.DUMMYFUNCTION("""COMPUTED_VALUE"""),158)</f>
        <v>158</v>
      </c>
      <c r="H3" s="122">
        <f ca="1">IFERROR(__xludf.DUMMYFUNCTION("""COMPUTED_VALUE"""),130)</f>
        <v>130</v>
      </c>
      <c r="I3" s="123">
        <f ca="1">IFERROR(__xludf.DUMMYFUNCTION("""COMPUTED_VALUE"""),51)</f>
        <v>51</v>
      </c>
      <c r="J3" s="123">
        <f ca="1">IFERROR(__xludf.DUMMYFUNCTION("""COMPUTED_VALUE"""),5)</f>
        <v>5</v>
      </c>
      <c r="K3" s="124">
        <f ca="1">IFERROR(__xludf.DUMMYFUNCTION("""COMPUTED_VALUE"""),181)</f>
        <v>181</v>
      </c>
      <c r="L3" s="123">
        <f ca="1">IFERROR(__xludf.DUMMYFUNCTION("""COMPUTED_VALUE"""),243)</f>
        <v>243</v>
      </c>
      <c r="M3" s="123">
        <f ca="1">IFERROR(__xludf.DUMMYFUNCTION("""COMPUTED_VALUE"""),96)</f>
        <v>96</v>
      </c>
      <c r="N3" s="123">
        <f ca="1">IFERROR(__xludf.DUMMYFUNCTION("""COMPUTED_VALUE"""),12)</f>
        <v>12</v>
      </c>
      <c r="O3" s="124">
        <f ca="1">IFERROR(__xludf.DUMMYFUNCTION("""COMPUTED_VALUE"""),339)</f>
        <v>339</v>
      </c>
      <c r="P3" s="123">
        <f ca="1">IFERROR(__xludf.DUMMYFUNCTION("""COMPUTED_VALUE"""),752)</f>
        <v>752</v>
      </c>
      <c r="Q3" s="165"/>
      <c r="R3" s="159"/>
      <c r="S3" s="159"/>
      <c r="T3" s="125">
        <f ca="1">IFERROR(__xludf.DUMMYFUNCTION("""COMPUTED_VALUE"""),236)</f>
        <v>236</v>
      </c>
      <c r="U3" s="125">
        <f ca="1">IFERROR(__xludf.DUMMYFUNCTION("""COMPUTED_VALUE"""),15)</f>
        <v>15</v>
      </c>
      <c r="V3" s="159"/>
      <c r="W3" s="126" t="str">
        <f ca="1">IFERROR(__xludf.DUMMYFUNCTION("""COMPUTED_VALUE"""),"Š")</f>
        <v>Š</v>
      </c>
      <c r="X3" s="126" t="str">
        <f ca="1">IFERROR(__xludf.DUMMYFUNCTION("""COMPUTED_VALUE"""),"R")</f>
        <v>R</v>
      </c>
      <c r="Y3" s="126" t="str">
        <f ca="1">IFERROR(__xludf.DUMMYFUNCTION("""COMPUTED_VALUE"""),"R")</f>
        <v>R</v>
      </c>
      <c r="Z3" s="126" t="str">
        <f ca="1">IFERROR(__xludf.DUMMYFUNCTION("""COMPUTED_VALUE"""),"Ž")</f>
        <v>Ž</v>
      </c>
      <c r="AA3" s="119" t="str">
        <f ca="1">IFERROR(__xludf.DUMMYFUNCTION("""COMPUTED_VALUE"""),"Ž")</f>
        <v>Ž</v>
      </c>
    </row>
    <row r="4" spans="1:27" ht="12.75" x14ac:dyDescent="0.2">
      <c r="A4" s="172">
        <v>2</v>
      </c>
      <c r="B4" s="127" t="str">
        <f ca="1">IFERROR(__xludf.DUMMYFUNCTION("""COMPUTED_VALUE"""),"Kuběnova Liba")</f>
        <v>Kuběnova Liba</v>
      </c>
      <c r="C4" s="128" t="str">
        <f ca="1">IFERROR(__xludf.DUMMYFUNCTION("""COMPUTED_VALUE"""),"Nové Město na Moravě")</f>
        <v>Nové Město na Moravě</v>
      </c>
      <c r="D4" s="129">
        <f ca="1">IFERROR(__xludf.DUMMYFUNCTION("""COMPUTED_VALUE"""),129)</f>
        <v>129</v>
      </c>
      <c r="E4" s="130">
        <f ca="1">IFERROR(__xludf.DUMMYFUNCTION("""COMPUTED_VALUE"""),34)</f>
        <v>34</v>
      </c>
      <c r="F4" s="130">
        <f ca="1">IFERROR(__xludf.DUMMYFUNCTION("""COMPUTED_VALUE"""),13)</f>
        <v>13</v>
      </c>
      <c r="G4" s="131">
        <f ca="1">IFERROR(__xludf.DUMMYFUNCTION("""COMPUTED_VALUE"""),163)</f>
        <v>163</v>
      </c>
      <c r="H4" s="129">
        <f ca="1">IFERROR(__xludf.DUMMYFUNCTION("""COMPUTED_VALUE"""),134)</f>
        <v>134</v>
      </c>
      <c r="I4" s="130">
        <f ca="1">IFERROR(__xludf.DUMMYFUNCTION("""COMPUTED_VALUE"""),52)</f>
        <v>52</v>
      </c>
      <c r="J4" s="130">
        <f ca="1">IFERROR(__xludf.DUMMYFUNCTION("""COMPUTED_VALUE"""),5)</f>
        <v>5</v>
      </c>
      <c r="K4" s="131">
        <f ca="1">IFERROR(__xludf.DUMMYFUNCTION("""COMPUTED_VALUE"""),186)</f>
        <v>186</v>
      </c>
      <c r="L4" s="130">
        <f ca="1">IFERROR(__xludf.DUMMYFUNCTION("""COMPUTED_VALUE"""),263)</f>
        <v>263</v>
      </c>
      <c r="M4" s="130">
        <f ca="1">IFERROR(__xludf.DUMMYFUNCTION("""COMPUTED_VALUE"""),86)</f>
        <v>86</v>
      </c>
      <c r="N4" s="130">
        <f ca="1">IFERROR(__xludf.DUMMYFUNCTION("""COMPUTED_VALUE"""),18)</f>
        <v>18</v>
      </c>
      <c r="O4" s="131">
        <f ca="1">IFERROR(__xludf.DUMMYFUNCTION("""COMPUTED_VALUE"""),349)</f>
        <v>349</v>
      </c>
      <c r="P4" s="132">
        <f ca="1">IFERROR(__xludf.DUMMYFUNCTION("""COMPUTED_VALUE"""),748)</f>
        <v>748</v>
      </c>
      <c r="Q4" s="173">
        <f ca="1">IFERROR(__xludf.DUMMYFUNCTION("""COMPUTED_VALUE"""),748)</f>
        <v>748</v>
      </c>
      <c r="R4" s="174">
        <f ca="1">IFERROR(__xludf.DUMMYFUNCTION("""COMPUTED_VALUE"""),214)</f>
        <v>214</v>
      </c>
      <c r="S4" s="174">
        <f ca="1">IFERROR(__xludf.DUMMYFUNCTION("""COMPUTED_VALUE"""),25)</f>
        <v>25</v>
      </c>
      <c r="T4" s="133">
        <f ca="1">IFERROR(__xludf.DUMMYFUNCTION("""COMPUTED_VALUE"""),214)</f>
        <v>214</v>
      </c>
      <c r="U4" s="133">
        <f ca="1">IFERROR(__xludf.DUMMYFUNCTION("""COMPUTED_VALUE"""),25)</f>
        <v>25</v>
      </c>
      <c r="V4" s="175" t="str">
        <f ca="1">IFERROR(__xludf.DUMMYFUNCTION("""COMPUTED_VALUE"""),"TV")</f>
        <v>TV</v>
      </c>
      <c r="W4" s="8" t="str">
        <f ca="1">IFERROR(__xludf.DUMMYFUNCTION("""COMPUTED_VALUE"""),"TV")</f>
        <v>TV</v>
      </c>
      <c r="X4" s="8" t="str">
        <f ca="1">IFERROR(__xludf.DUMMYFUNCTION("""COMPUTED_VALUE"""),"R")</f>
        <v>R</v>
      </c>
      <c r="Y4" s="8" t="str">
        <f ca="1">IFERROR(__xludf.DUMMYFUNCTION("""COMPUTED_VALUE"""),"R")</f>
        <v>R</v>
      </c>
      <c r="Z4" s="8" t="str">
        <f ca="1">IFERROR(__xludf.DUMMYFUNCTION("""COMPUTED_VALUE"""),"Ž")</f>
        <v>Ž</v>
      </c>
      <c r="AA4" s="8" t="str">
        <f ca="1">IFERROR(__xludf.DUMMYFUNCTION("""COMPUTED_VALUE"""),"Ž")</f>
        <v>Ž</v>
      </c>
    </row>
    <row r="5" spans="1:27" ht="12.75" x14ac:dyDescent="0.2">
      <c r="A5" s="165"/>
      <c r="B5" s="134"/>
      <c r="C5" s="135"/>
      <c r="D5" s="136"/>
      <c r="E5" s="137"/>
      <c r="F5" s="137"/>
      <c r="G5" s="138"/>
      <c r="H5" s="136"/>
      <c r="I5" s="137"/>
      <c r="J5" s="137"/>
      <c r="K5" s="138"/>
      <c r="L5" s="137"/>
      <c r="M5" s="137"/>
      <c r="N5" s="137"/>
      <c r="O5" s="138"/>
      <c r="P5" s="139"/>
      <c r="Q5" s="165"/>
      <c r="R5" s="159"/>
      <c r="S5" s="159"/>
      <c r="T5" s="140"/>
      <c r="U5" s="140"/>
      <c r="V5" s="159"/>
      <c r="W5" s="141"/>
      <c r="X5" s="141"/>
      <c r="Y5" s="141"/>
      <c r="Z5" s="141"/>
    </row>
    <row r="6" spans="1:27" ht="12.75" x14ac:dyDescent="0.2">
      <c r="A6" s="172">
        <v>3</v>
      </c>
      <c r="B6" s="127"/>
      <c r="C6" s="128"/>
      <c r="D6" s="129"/>
      <c r="E6" s="130"/>
      <c r="F6" s="130"/>
      <c r="G6" s="131"/>
      <c r="H6" s="129"/>
      <c r="I6" s="130"/>
      <c r="J6" s="130"/>
      <c r="K6" s="131"/>
      <c r="L6" s="130"/>
      <c r="M6" s="130"/>
      <c r="N6" s="130"/>
      <c r="O6" s="131"/>
      <c r="P6" s="132"/>
      <c r="Q6" s="173"/>
      <c r="R6" s="174"/>
      <c r="S6" s="174"/>
      <c r="T6" s="133"/>
      <c r="U6" s="133"/>
      <c r="V6" s="175"/>
    </row>
    <row r="7" spans="1:27" ht="12.75" x14ac:dyDescent="0.2">
      <c r="A7" s="165"/>
      <c r="B7" s="134"/>
      <c r="C7" s="135"/>
      <c r="D7" s="136"/>
      <c r="E7" s="137"/>
      <c r="F7" s="137"/>
      <c r="G7" s="138"/>
      <c r="H7" s="136"/>
      <c r="I7" s="137"/>
      <c r="J7" s="137"/>
      <c r="K7" s="138"/>
      <c r="L7" s="137"/>
      <c r="M7" s="137"/>
      <c r="N7" s="137"/>
      <c r="O7" s="138"/>
      <c r="P7" s="139"/>
      <c r="Q7" s="165"/>
      <c r="R7" s="159"/>
      <c r="S7" s="159"/>
      <c r="T7" s="140"/>
      <c r="U7" s="140"/>
      <c r="V7" s="159"/>
      <c r="W7" s="141"/>
      <c r="X7" s="141"/>
      <c r="Y7" s="141"/>
      <c r="Z7" s="141"/>
    </row>
    <row r="8" spans="1:27" ht="12.75" x14ac:dyDescent="0.2">
      <c r="A8" s="172">
        <v>4</v>
      </c>
      <c r="B8" s="127"/>
      <c r="C8" s="128"/>
      <c r="D8" s="129"/>
      <c r="E8" s="130"/>
      <c r="F8" s="130"/>
      <c r="G8" s="131"/>
      <c r="H8" s="129"/>
      <c r="I8" s="130"/>
      <c r="J8" s="130"/>
      <c r="K8" s="131"/>
      <c r="L8" s="130"/>
      <c r="M8" s="130"/>
      <c r="N8" s="130"/>
      <c r="O8" s="131"/>
      <c r="P8" s="132"/>
      <c r="Q8" s="173"/>
      <c r="R8" s="174"/>
      <c r="S8" s="174"/>
      <c r="T8" s="133"/>
      <c r="U8" s="133"/>
      <c r="V8" s="175"/>
    </row>
    <row r="9" spans="1:27" ht="12.75" x14ac:dyDescent="0.2">
      <c r="A9" s="165"/>
      <c r="B9" s="134"/>
      <c r="C9" s="135"/>
      <c r="D9" s="136"/>
      <c r="E9" s="137"/>
      <c r="F9" s="137"/>
      <c r="G9" s="138"/>
      <c r="H9" s="136"/>
      <c r="I9" s="137"/>
      <c r="J9" s="137"/>
      <c r="K9" s="138"/>
      <c r="L9" s="137"/>
      <c r="M9" s="137"/>
      <c r="N9" s="137"/>
      <c r="O9" s="138"/>
      <c r="P9" s="139"/>
      <c r="Q9" s="165"/>
      <c r="R9" s="159"/>
      <c r="S9" s="159"/>
      <c r="T9" s="140"/>
      <c r="U9" s="140"/>
      <c r="V9" s="159"/>
      <c r="W9" s="141"/>
      <c r="X9" s="141"/>
      <c r="Y9" s="141"/>
      <c r="Z9" s="141"/>
    </row>
    <row r="10" spans="1:27" ht="12.75" x14ac:dyDescent="0.2">
      <c r="A10" s="172">
        <v>5</v>
      </c>
      <c r="B10" s="127"/>
      <c r="C10" s="128"/>
      <c r="D10" s="129"/>
      <c r="E10" s="130"/>
      <c r="F10" s="130"/>
      <c r="G10" s="131"/>
      <c r="H10" s="129"/>
      <c r="I10" s="130"/>
      <c r="J10" s="130"/>
      <c r="K10" s="131"/>
      <c r="L10" s="130"/>
      <c r="M10" s="130"/>
      <c r="N10" s="130"/>
      <c r="O10" s="131"/>
      <c r="P10" s="132"/>
      <c r="Q10" s="173"/>
      <c r="R10" s="174"/>
      <c r="S10" s="174"/>
      <c r="T10" s="133"/>
      <c r="U10" s="133"/>
      <c r="V10" s="175"/>
    </row>
    <row r="11" spans="1:27" ht="12.75" x14ac:dyDescent="0.2">
      <c r="A11" s="165"/>
      <c r="B11" s="134"/>
      <c r="C11" s="135"/>
      <c r="D11" s="136"/>
      <c r="E11" s="137"/>
      <c r="F11" s="137"/>
      <c r="G11" s="138"/>
      <c r="H11" s="136"/>
      <c r="I11" s="137"/>
      <c r="J11" s="137"/>
      <c r="K11" s="138"/>
      <c r="L11" s="137"/>
      <c r="M11" s="137"/>
      <c r="N11" s="137"/>
      <c r="O11" s="138"/>
      <c r="P11" s="139"/>
      <c r="Q11" s="165"/>
      <c r="R11" s="159"/>
      <c r="S11" s="159"/>
      <c r="T11" s="140"/>
      <c r="U11" s="140"/>
      <c r="V11" s="159"/>
      <c r="W11" s="141"/>
      <c r="X11" s="141"/>
      <c r="Y11" s="141"/>
      <c r="Z11" s="141"/>
    </row>
    <row r="12" spans="1:27" ht="12.75" x14ac:dyDescent="0.2">
      <c r="A12" s="172">
        <v>6</v>
      </c>
      <c r="B12" s="127"/>
      <c r="C12" s="128"/>
      <c r="D12" s="129"/>
      <c r="E12" s="130"/>
      <c r="F12" s="130"/>
      <c r="G12" s="131"/>
      <c r="H12" s="129"/>
      <c r="I12" s="130"/>
      <c r="J12" s="130"/>
      <c r="K12" s="131"/>
      <c r="L12" s="130"/>
      <c r="M12" s="130"/>
      <c r="N12" s="130"/>
      <c r="O12" s="131"/>
      <c r="P12" s="132"/>
      <c r="Q12" s="173"/>
      <c r="R12" s="174"/>
      <c r="S12" s="174"/>
      <c r="T12" s="133"/>
      <c r="U12" s="133"/>
      <c r="V12" s="175"/>
    </row>
    <row r="13" spans="1:27" ht="12.75" x14ac:dyDescent="0.2">
      <c r="A13" s="165"/>
      <c r="B13" s="134"/>
      <c r="C13" s="135"/>
      <c r="D13" s="136"/>
      <c r="E13" s="137"/>
      <c r="F13" s="137"/>
      <c r="G13" s="138"/>
      <c r="H13" s="136"/>
      <c r="I13" s="137"/>
      <c r="J13" s="137"/>
      <c r="K13" s="138"/>
      <c r="L13" s="137"/>
      <c r="M13" s="137"/>
      <c r="N13" s="137"/>
      <c r="O13" s="138"/>
      <c r="P13" s="139"/>
      <c r="Q13" s="165"/>
      <c r="R13" s="159"/>
      <c r="S13" s="159"/>
      <c r="T13" s="140"/>
      <c r="U13" s="140"/>
      <c r="V13" s="159"/>
      <c r="W13" s="141"/>
      <c r="X13" s="141"/>
      <c r="Y13" s="141"/>
      <c r="Z13" s="141"/>
    </row>
    <row r="14" spans="1:27" ht="12.75" x14ac:dyDescent="0.2">
      <c r="A14" s="172">
        <v>7</v>
      </c>
      <c r="B14" s="127"/>
      <c r="C14" s="128"/>
      <c r="D14" s="129"/>
      <c r="E14" s="130"/>
      <c r="F14" s="130"/>
      <c r="G14" s="131"/>
      <c r="H14" s="129"/>
      <c r="I14" s="130"/>
      <c r="J14" s="130"/>
      <c r="K14" s="131"/>
      <c r="L14" s="130"/>
      <c r="M14" s="130"/>
      <c r="N14" s="130"/>
      <c r="O14" s="131"/>
      <c r="P14" s="132"/>
      <c r="Q14" s="173"/>
      <c r="R14" s="174"/>
      <c r="S14" s="174"/>
      <c r="T14" s="133"/>
      <c r="U14" s="133"/>
      <c r="V14" s="175"/>
    </row>
    <row r="15" spans="1:27" ht="12.75" x14ac:dyDescent="0.2">
      <c r="A15" s="165"/>
      <c r="B15" s="134"/>
      <c r="C15" s="135"/>
      <c r="D15" s="136"/>
      <c r="E15" s="137"/>
      <c r="F15" s="137"/>
      <c r="G15" s="138"/>
      <c r="H15" s="136"/>
      <c r="I15" s="137"/>
      <c r="J15" s="137"/>
      <c r="K15" s="138"/>
      <c r="L15" s="137"/>
      <c r="M15" s="137"/>
      <c r="N15" s="137"/>
      <c r="O15" s="138"/>
      <c r="P15" s="139"/>
      <c r="Q15" s="165"/>
      <c r="R15" s="159"/>
      <c r="S15" s="159"/>
      <c r="T15" s="140"/>
      <c r="U15" s="140"/>
      <c r="V15" s="159"/>
      <c r="W15" s="141"/>
      <c r="X15" s="141"/>
      <c r="Y15" s="141"/>
      <c r="Z15" s="141"/>
    </row>
    <row r="16" spans="1:27" ht="12.75" x14ac:dyDescent="0.2">
      <c r="A16" s="172">
        <v>8</v>
      </c>
      <c r="B16" s="127"/>
      <c r="C16" s="128"/>
      <c r="D16" s="129"/>
      <c r="E16" s="130"/>
      <c r="F16" s="130"/>
      <c r="G16" s="131"/>
      <c r="H16" s="129"/>
      <c r="I16" s="130"/>
      <c r="J16" s="130"/>
      <c r="K16" s="131"/>
      <c r="L16" s="130"/>
      <c r="M16" s="130"/>
      <c r="N16" s="130"/>
      <c r="O16" s="131"/>
      <c r="P16" s="132"/>
      <c r="Q16" s="173"/>
      <c r="R16" s="174"/>
      <c r="S16" s="174"/>
      <c r="T16" s="133"/>
      <c r="U16" s="133"/>
      <c r="V16" s="175"/>
    </row>
    <row r="17" spans="1:26" ht="12.75" x14ac:dyDescent="0.2">
      <c r="A17" s="165"/>
      <c r="B17" s="134"/>
      <c r="C17" s="135"/>
      <c r="D17" s="136"/>
      <c r="E17" s="137"/>
      <c r="F17" s="137"/>
      <c r="G17" s="138"/>
      <c r="H17" s="136"/>
      <c r="I17" s="137"/>
      <c r="J17" s="137"/>
      <c r="K17" s="138"/>
      <c r="L17" s="137"/>
      <c r="M17" s="137"/>
      <c r="N17" s="137"/>
      <c r="O17" s="138"/>
      <c r="P17" s="139"/>
      <c r="Q17" s="165"/>
      <c r="R17" s="159"/>
      <c r="S17" s="159"/>
      <c r="T17" s="140"/>
      <c r="U17" s="140"/>
      <c r="V17" s="159"/>
      <c r="W17" s="141"/>
      <c r="X17" s="141"/>
      <c r="Y17" s="141"/>
      <c r="Z17" s="141"/>
    </row>
    <row r="18" spans="1:26" ht="12.75" x14ac:dyDescent="0.2">
      <c r="A18" s="172">
        <v>9</v>
      </c>
      <c r="B18" s="127"/>
      <c r="C18" s="128"/>
      <c r="D18" s="129"/>
      <c r="E18" s="130"/>
      <c r="F18" s="130"/>
      <c r="G18" s="131"/>
      <c r="H18" s="129"/>
      <c r="I18" s="130"/>
      <c r="J18" s="130"/>
      <c r="K18" s="131"/>
      <c r="L18" s="130"/>
      <c r="M18" s="130"/>
      <c r="N18" s="130"/>
      <c r="O18" s="131"/>
      <c r="P18" s="132"/>
      <c r="Q18" s="173"/>
      <c r="R18" s="174"/>
      <c r="S18" s="174"/>
      <c r="T18" s="133"/>
      <c r="U18" s="133"/>
      <c r="V18" s="175"/>
    </row>
    <row r="19" spans="1:26" ht="12.75" x14ac:dyDescent="0.2">
      <c r="A19" s="165"/>
      <c r="B19" s="134"/>
      <c r="C19" s="135"/>
      <c r="D19" s="136"/>
      <c r="E19" s="137"/>
      <c r="F19" s="137"/>
      <c r="G19" s="138"/>
      <c r="H19" s="136"/>
      <c r="I19" s="137"/>
      <c r="J19" s="137"/>
      <c r="K19" s="138"/>
      <c r="L19" s="137"/>
      <c r="M19" s="137"/>
      <c r="N19" s="137"/>
      <c r="O19" s="138"/>
      <c r="P19" s="139"/>
      <c r="Q19" s="165"/>
      <c r="R19" s="159"/>
      <c r="S19" s="159"/>
      <c r="T19" s="140"/>
      <c r="U19" s="140"/>
      <c r="V19" s="159"/>
      <c r="W19" s="141"/>
      <c r="X19" s="141"/>
      <c r="Y19" s="141"/>
      <c r="Z19" s="141"/>
    </row>
    <row r="20" spans="1:26" ht="12.75" x14ac:dyDescent="0.2">
      <c r="A20" s="172">
        <v>10</v>
      </c>
      <c r="B20" s="127"/>
      <c r="C20" s="128"/>
      <c r="D20" s="129"/>
      <c r="E20" s="130"/>
      <c r="F20" s="130"/>
      <c r="G20" s="131"/>
      <c r="H20" s="129"/>
      <c r="I20" s="130"/>
      <c r="J20" s="130"/>
      <c r="K20" s="131"/>
      <c r="L20" s="130"/>
      <c r="M20" s="130"/>
      <c r="N20" s="130"/>
      <c r="O20" s="131"/>
      <c r="P20" s="132"/>
      <c r="Q20" s="173"/>
      <c r="R20" s="174"/>
      <c r="S20" s="174"/>
      <c r="T20" s="133"/>
      <c r="U20" s="133"/>
      <c r="V20" s="175"/>
    </row>
    <row r="21" spans="1:26" ht="12.75" x14ac:dyDescent="0.2">
      <c r="A21" s="165"/>
      <c r="B21" s="134"/>
      <c r="C21" s="135"/>
      <c r="D21" s="136"/>
      <c r="E21" s="137"/>
      <c r="F21" s="137"/>
      <c r="G21" s="138"/>
      <c r="H21" s="136"/>
      <c r="I21" s="137"/>
      <c r="J21" s="137"/>
      <c r="K21" s="138"/>
      <c r="L21" s="137"/>
      <c r="M21" s="137"/>
      <c r="N21" s="137"/>
      <c r="O21" s="138"/>
      <c r="P21" s="139"/>
      <c r="Q21" s="165"/>
      <c r="R21" s="159"/>
      <c r="S21" s="159"/>
      <c r="T21" s="140"/>
      <c r="U21" s="140"/>
      <c r="V21" s="159"/>
      <c r="W21" s="141"/>
      <c r="X21" s="141"/>
      <c r="Y21" s="141"/>
      <c r="Z21" s="141"/>
    </row>
    <row r="22" spans="1:26" ht="12.75" x14ac:dyDescent="0.2">
      <c r="A22" s="172">
        <v>11</v>
      </c>
      <c r="B22" s="127"/>
      <c r="C22" s="128"/>
      <c r="D22" s="129"/>
      <c r="E22" s="130"/>
      <c r="F22" s="130"/>
      <c r="G22" s="131"/>
      <c r="H22" s="129"/>
      <c r="I22" s="130"/>
      <c r="J22" s="130"/>
      <c r="K22" s="131"/>
      <c r="L22" s="130"/>
      <c r="M22" s="130"/>
      <c r="N22" s="130"/>
      <c r="O22" s="131"/>
      <c r="P22" s="132"/>
      <c r="Q22" s="173"/>
      <c r="R22" s="174"/>
      <c r="S22" s="174"/>
      <c r="T22" s="133"/>
      <c r="U22" s="133"/>
      <c r="V22" s="175"/>
    </row>
    <row r="23" spans="1:26" ht="12.75" x14ac:dyDescent="0.2">
      <c r="A23" s="165"/>
      <c r="B23" s="134"/>
      <c r="C23" s="135"/>
      <c r="D23" s="136"/>
      <c r="E23" s="137"/>
      <c r="F23" s="137"/>
      <c r="G23" s="138"/>
      <c r="H23" s="136"/>
      <c r="I23" s="137"/>
      <c r="J23" s="137"/>
      <c r="K23" s="138"/>
      <c r="L23" s="137"/>
      <c r="M23" s="137"/>
      <c r="N23" s="137"/>
      <c r="O23" s="138"/>
      <c r="P23" s="139"/>
      <c r="Q23" s="165"/>
      <c r="R23" s="159"/>
      <c r="S23" s="159"/>
      <c r="T23" s="140"/>
      <c r="U23" s="140"/>
      <c r="V23" s="159"/>
      <c r="W23" s="141"/>
      <c r="X23" s="141"/>
      <c r="Y23" s="141"/>
      <c r="Z23" s="141"/>
    </row>
    <row r="24" spans="1:26" ht="12.75" x14ac:dyDescent="0.2">
      <c r="A24" s="172">
        <v>12</v>
      </c>
      <c r="B24" s="127"/>
      <c r="C24" s="128"/>
      <c r="D24" s="129"/>
      <c r="E24" s="130"/>
      <c r="F24" s="130"/>
      <c r="G24" s="131"/>
      <c r="H24" s="129"/>
      <c r="I24" s="130"/>
      <c r="J24" s="130"/>
      <c r="K24" s="131"/>
      <c r="L24" s="130"/>
      <c r="M24" s="130"/>
      <c r="N24" s="130"/>
      <c r="O24" s="131"/>
      <c r="P24" s="132"/>
      <c r="Q24" s="173"/>
      <c r="R24" s="174"/>
      <c r="S24" s="174"/>
      <c r="T24" s="133"/>
      <c r="U24" s="133"/>
      <c r="V24" s="175"/>
    </row>
    <row r="25" spans="1:26" ht="12.75" x14ac:dyDescent="0.2">
      <c r="A25" s="165"/>
      <c r="B25" s="134"/>
      <c r="C25" s="135"/>
      <c r="D25" s="136"/>
      <c r="E25" s="137"/>
      <c r="F25" s="137"/>
      <c r="G25" s="138"/>
      <c r="H25" s="136"/>
      <c r="I25" s="137"/>
      <c r="J25" s="137"/>
      <c r="K25" s="138"/>
      <c r="L25" s="137"/>
      <c r="M25" s="137"/>
      <c r="N25" s="137"/>
      <c r="O25" s="138"/>
      <c r="P25" s="139"/>
      <c r="Q25" s="165"/>
      <c r="R25" s="159"/>
      <c r="S25" s="159"/>
      <c r="T25" s="140"/>
      <c r="U25" s="140"/>
      <c r="V25" s="159"/>
      <c r="W25" s="141"/>
      <c r="X25" s="141"/>
      <c r="Y25" s="141"/>
      <c r="Z25" s="141"/>
    </row>
    <row r="26" spans="1:26" ht="12.75" x14ac:dyDescent="0.2">
      <c r="A26" s="172">
        <v>13</v>
      </c>
      <c r="B26" s="127"/>
      <c r="C26" s="128"/>
      <c r="D26" s="129"/>
      <c r="E26" s="130"/>
      <c r="F26" s="130"/>
      <c r="G26" s="131"/>
      <c r="H26" s="129"/>
      <c r="I26" s="130"/>
      <c r="J26" s="130"/>
      <c r="K26" s="131"/>
      <c r="L26" s="130"/>
      <c r="M26" s="130"/>
      <c r="N26" s="130"/>
      <c r="O26" s="131"/>
      <c r="P26" s="132"/>
      <c r="Q26" s="173"/>
      <c r="R26" s="174"/>
      <c r="S26" s="174"/>
      <c r="T26" s="133"/>
      <c r="U26" s="133"/>
      <c r="V26" s="175"/>
    </row>
    <row r="27" spans="1:26" ht="12.75" x14ac:dyDescent="0.2">
      <c r="A27" s="165"/>
      <c r="B27" s="134"/>
      <c r="C27" s="135"/>
      <c r="D27" s="136"/>
      <c r="E27" s="137"/>
      <c r="F27" s="137"/>
      <c r="G27" s="138"/>
      <c r="H27" s="136"/>
      <c r="I27" s="137"/>
      <c r="J27" s="137"/>
      <c r="K27" s="138"/>
      <c r="L27" s="137"/>
      <c r="M27" s="137"/>
      <c r="N27" s="137"/>
      <c r="O27" s="138"/>
      <c r="P27" s="139"/>
      <c r="Q27" s="165"/>
      <c r="R27" s="159"/>
      <c r="S27" s="159"/>
      <c r="T27" s="140"/>
      <c r="U27" s="140"/>
      <c r="V27" s="159"/>
      <c r="W27" s="141"/>
      <c r="X27" s="141"/>
      <c r="Y27" s="141"/>
      <c r="Z27" s="141"/>
    </row>
    <row r="28" spans="1:26" ht="12.75" x14ac:dyDescent="0.2">
      <c r="A28" s="172">
        <v>14</v>
      </c>
      <c r="B28" s="127"/>
      <c r="C28" s="128"/>
      <c r="D28" s="129"/>
      <c r="E28" s="130"/>
      <c r="F28" s="130"/>
      <c r="G28" s="131"/>
      <c r="H28" s="129"/>
      <c r="I28" s="130"/>
      <c r="J28" s="130"/>
      <c r="K28" s="131"/>
      <c r="L28" s="130"/>
      <c r="M28" s="130"/>
      <c r="N28" s="130"/>
      <c r="O28" s="131"/>
      <c r="P28" s="132"/>
      <c r="Q28" s="173"/>
      <c r="R28" s="174"/>
      <c r="S28" s="174"/>
      <c r="T28" s="133"/>
      <c r="U28" s="133"/>
      <c r="V28" s="175"/>
    </row>
    <row r="29" spans="1:26" ht="12.75" x14ac:dyDescent="0.2">
      <c r="A29" s="165"/>
      <c r="B29" s="134"/>
      <c r="C29" s="135"/>
      <c r="D29" s="136"/>
      <c r="E29" s="137"/>
      <c r="F29" s="137"/>
      <c r="G29" s="138"/>
      <c r="H29" s="136"/>
      <c r="I29" s="137"/>
      <c r="J29" s="137"/>
      <c r="K29" s="138"/>
      <c r="L29" s="137"/>
      <c r="M29" s="137"/>
      <c r="N29" s="137"/>
      <c r="O29" s="138"/>
      <c r="P29" s="139"/>
      <c r="Q29" s="165"/>
      <c r="R29" s="159"/>
      <c r="S29" s="159"/>
      <c r="T29" s="140"/>
      <c r="U29" s="140"/>
      <c r="V29" s="159"/>
      <c r="W29" s="141"/>
      <c r="X29" s="141"/>
      <c r="Y29" s="141"/>
      <c r="Z29" s="141"/>
    </row>
    <row r="30" spans="1:26" ht="12.75" x14ac:dyDescent="0.2">
      <c r="A30" s="172">
        <v>15</v>
      </c>
      <c r="B30" s="127"/>
      <c r="C30" s="128"/>
      <c r="D30" s="129"/>
      <c r="E30" s="130"/>
      <c r="F30" s="130"/>
      <c r="G30" s="131"/>
      <c r="H30" s="129"/>
      <c r="I30" s="130"/>
      <c r="J30" s="130"/>
      <c r="K30" s="131"/>
      <c r="L30" s="130"/>
      <c r="M30" s="130"/>
      <c r="N30" s="130"/>
      <c r="O30" s="131"/>
      <c r="P30" s="132"/>
      <c r="Q30" s="173"/>
      <c r="R30" s="174"/>
      <c r="S30" s="174"/>
      <c r="T30" s="133"/>
      <c r="U30" s="133"/>
      <c r="V30" s="175"/>
    </row>
    <row r="31" spans="1:26" ht="12.75" x14ac:dyDescent="0.2">
      <c r="A31" s="165"/>
      <c r="B31" s="134"/>
      <c r="C31" s="135"/>
      <c r="D31" s="136"/>
      <c r="E31" s="137"/>
      <c r="F31" s="137"/>
      <c r="G31" s="138"/>
      <c r="H31" s="136"/>
      <c r="I31" s="137"/>
      <c r="J31" s="137"/>
      <c r="K31" s="138"/>
      <c r="L31" s="137"/>
      <c r="M31" s="137"/>
      <c r="N31" s="137"/>
      <c r="O31" s="138"/>
      <c r="P31" s="139"/>
      <c r="Q31" s="165"/>
      <c r="R31" s="159"/>
      <c r="S31" s="159"/>
      <c r="T31" s="140"/>
      <c r="U31" s="140"/>
      <c r="V31" s="159"/>
      <c r="W31" s="141"/>
      <c r="X31" s="141"/>
      <c r="Y31" s="141"/>
      <c r="Z31" s="141"/>
    </row>
    <row r="32" spans="1:26" ht="12.75" x14ac:dyDescent="0.2">
      <c r="A32" s="172">
        <v>16</v>
      </c>
      <c r="B32" s="127"/>
      <c r="C32" s="128"/>
      <c r="D32" s="129"/>
      <c r="E32" s="130"/>
      <c r="F32" s="130"/>
      <c r="G32" s="131"/>
      <c r="H32" s="129"/>
      <c r="I32" s="130"/>
      <c r="J32" s="130"/>
      <c r="K32" s="131"/>
      <c r="L32" s="130"/>
      <c r="M32" s="130"/>
      <c r="N32" s="130"/>
      <c r="O32" s="131"/>
      <c r="P32" s="132"/>
      <c r="Q32" s="173"/>
      <c r="R32" s="174"/>
      <c r="S32" s="174"/>
      <c r="T32" s="133"/>
      <c r="U32" s="133"/>
      <c r="V32" s="175"/>
    </row>
    <row r="33" spans="1:26" ht="12.75" x14ac:dyDescent="0.2">
      <c r="A33" s="165"/>
      <c r="B33" s="134"/>
      <c r="C33" s="135"/>
      <c r="D33" s="136"/>
      <c r="E33" s="137"/>
      <c r="F33" s="137"/>
      <c r="G33" s="138"/>
      <c r="H33" s="136"/>
      <c r="I33" s="137"/>
      <c r="J33" s="137"/>
      <c r="K33" s="138"/>
      <c r="L33" s="137"/>
      <c r="M33" s="137"/>
      <c r="N33" s="137"/>
      <c r="O33" s="138"/>
      <c r="P33" s="139"/>
      <c r="Q33" s="165"/>
      <c r="R33" s="159"/>
      <c r="S33" s="159"/>
      <c r="T33" s="140"/>
      <c r="U33" s="140"/>
      <c r="V33" s="159"/>
      <c r="W33" s="141"/>
      <c r="X33" s="141"/>
      <c r="Y33" s="141"/>
      <c r="Z33" s="141"/>
    </row>
    <row r="34" spans="1:26" ht="12.75" x14ac:dyDescent="0.2">
      <c r="A34" s="172">
        <v>17</v>
      </c>
      <c r="B34" s="127"/>
      <c r="C34" s="128"/>
      <c r="D34" s="129"/>
      <c r="E34" s="130"/>
      <c r="F34" s="130"/>
      <c r="G34" s="131"/>
      <c r="H34" s="129"/>
      <c r="I34" s="130"/>
      <c r="J34" s="130"/>
      <c r="K34" s="131"/>
      <c r="L34" s="130"/>
      <c r="M34" s="130"/>
      <c r="N34" s="130"/>
      <c r="O34" s="131"/>
      <c r="P34" s="132"/>
      <c r="Q34" s="173"/>
      <c r="R34" s="174"/>
      <c r="S34" s="174"/>
      <c r="T34" s="133"/>
      <c r="U34" s="133"/>
      <c r="V34" s="175"/>
    </row>
    <row r="35" spans="1:26" ht="12.75" x14ac:dyDescent="0.2">
      <c r="A35" s="165"/>
      <c r="B35" s="134"/>
      <c r="C35" s="135"/>
      <c r="D35" s="136"/>
      <c r="E35" s="137"/>
      <c r="F35" s="137"/>
      <c r="G35" s="138"/>
      <c r="H35" s="136"/>
      <c r="I35" s="137"/>
      <c r="J35" s="137"/>
      <c r="K35" s="138"/>
      <c r="L35" s="137"/>
      <c r="M35" s="137"/>
      <c r="N35" s="137"/>
      <c r="O35" s="138"/>
      <c r="P35" s="139"/>
      <c r="Q35" s="165"/>
      <c r="R35" s="159"/>
      <c r="S35" s="159"/>
      <c r="T35" s="140"/>
      <c r="U35" s="140"/>
      <c r="V35" s="159"/>
      <c r="W35" s="141"/>
      <c r="X35" s="141"/>
      <c r="Y35" s="141"/>
      <c r="Z35" s="141"/>
    </row>
    <row r="36" spans="1:26" ht="12.75" x14ac:dyDescent="0.2">
      <c r="A36" s="172">
        <v>18</v>
      </c>
      <c r="B36" s="127"/>
      <c r="C36" s="128"/>
      <c r="D36" s="129"/>
      <c r="E36" s="130"/>
      <c r="F36" s="130"/>
      <c r="G36" s="131"/>
      <c r="H36" s="129"/>
      <c r="I36" s="130"/>
      <c r="J36" s="130"/>
      <c r="K36" s="131"/>
      <c r="L36" s="130"/>
      <c r="M36" s="130"/>
      <c r="N36" s="130"/>
      <c r="O36" s="131"/>
      <c r="P36" s="132"/>
      <c r="Q36" s="173"/>
      <c r="R36" s="174"/>
      <c r="S36" s="174"/>
      <c r="T36" s="133"/>
      <c r="U36" s="133"/>
      <c r="V36" s="175"/>
    </row>
    <row r="37" spans="1:26" ht="12.75" x14ac:dyDescent="0.2">
      <c r="A37" s="165"/>
      <c r="B37" s="134"/>
      <c r="C37" s="135"/>
      <c r="D37" s="136"/>
      <c r="E37" s="137"/>
      <c r="F37" s="137"/>
      <c r="G37" s="138"/>
      <c r="H37" s="136"/>
      <c r="I37" s="137"/>
      <c r="J37" s="137"/>
      <c r="K37" s="138"/>
      <c r="L37" s="137"/>
      <c r="M37" s="137"/>
      <c r="N37" s="137"/>
      <c r="O37" s="138"/>
      <c r="P37" s="139"/>
      <c r="Q37" s="165"/>
      <c r="R37" s="159"/>
      <c r="S37" s="159"/>
      <c r="T37" s="140"/>
      <c r="U37" s="140"/>
      <c r="V37" s="159"/>
      <c r="W37" s="141"/>
      <c r="X37" s="141"/>
      <c r="Y37" s="141"/>
      <c r="Z37" s="141"/>
    </row>
    <row r="38" spans="1:26" ht="12.75" x14ac:dyDescent="0.2">
      <c r="A38" s="172">
        <v>19</v>
      </c>
      <c r="B38" s="127"/>
      <c r="C38" s="128"/>
      <c r="D38" s="129"/>
      <c r="E38" s="130"/>
      <c r="F38" s="130"/>
      <c r="G38" s="131"/>
      <c r="H38" s="129"/>
      <c r="I38" s="130"/>
      <c r="J38" s="130"/>
      <c r="K38" s="131"/>
      <c r="L38" s="130"/>
      <c r="M38" s="130"/>
      <c r="N38" s="130"/>
      <c r="O38" s="131"/>
      <c r="P38" s="132"/>
      <c r="Q38" s="173"/>
      <c r="R38" s="174"/>
      <c r="S38" s="174"/>
      <c r="T38" s="133"/>
      <c r="U38" s="133"/>
      <c r="V38" s="175"/>
    </row>
    <row r="39" spans="1:26" ht="12.75" x14ac:dyDescent="0.2">
      <c r="A39" s="165"/>
      <c r="B39" s="134"/>
      <c r="C39" s="135"/>
      <c r="D39" s="136"/>
      <c r="E39" s="137"/>
      <c r="F39" s="137"/>
      <c r="G39" s="138"/>
      <c r="H39" s="136"/>
      <c r="I39" s="137"/>
      <c r="J39" s="137"/>
      <c r="K39" s="138"/>
      <c r="L39" s="137"/>
      <c r="M39" s="137"/>
      <c r="N39" s="137"/>
      <c r="O39" s="138"/>
      <c r="P39" s="139"/>
      <c r="Q39" s="165"/>
      <c r="R39" s="159"/>
      <c r="S39" s="159"/>
      <c r="T39" s="140"/>
      <c r="U39" s="140"/>
      <c r="V39" s="159"/>
      <c r="W39" s="141"/>
      <c r="X39" s="141"/>
      <c r="Y39" s="141"/>
      <c r="Z39" s="141"/>
    </row>
    <row r="40" spans="1:26" ht="12.75" x14ac:dyDescent="0.2">
      <c r="A40" s="172">
        <v>20</v>
      </c>
      <c r="B40" s="127"/>
      <c r="C40" s="128"/>
      <c r="D40" s="129"/>
      <c r="E40" s="130"/>
      <c r="F40" s="130"/>
      <c r="G40" s="131"/>
      <c r="H40" s="129"/>
      <c r="I40" s="130"/>
      <c r="J40" s="130"/>
      <c r="K40" s="131"/>
      <c r="L40" s="130"/>
      <c r="M40" s="130"/>
      <c r="N40" s="130"/>
      <c r="O40" s="131"/>
      <c r="P40" s="132"/>
      <c r="Q40" s="173"/>
      <c r="R40" s="174"/>
      <c r="S40" s="174"/>
      <c r="T40" s="133"/>
      <c r="U40" s="133"/>
      <c r="V40" s="175"/>
    </row>
    <row r="41" spans="1:26" ht="12.75" x14ac:dyDescent="0.2">
      <c r="A41" s="165"/>
      <c r="B41" s="134"/>
      <c r="C41" s="135"/>
      <c r="D41" s="136"/>
      <c r="E41" s="137"/>
      <c r="F41" s="137"/>
      <c r="G41" s="138"/>
      <c r="H41" s="136"/>
      <c r="I41" s="137"/>
      <c r="J41" s="137"/>
      <c r="K41" s="138"/>
      <c r="L41" s="137"/>
      <c r="M41" s="137"/>
      <c r="N41" s="137"/>
      <c r="O41" s="138"/>
      <c r="P41" s="139"/>
      <c r="Q41" s="165"/>
      <c r="R41" s="159"/>
      <c r="S41" s="159"/>
      <c r="T41" s="140"/>
      <c r="U41" s="140"/>
      <c r="V41" s="159"/>
      <c r="W41" s="141"/>
      <c r="X41" s="141"/>
      <c r="Y41" s="141"/>
      <c r="Z41" s="141"/>
    </row>
    <row r="42" spans="1:26" ht="12.75" x14ac:dyDescent="0.2">
      <c r="A42" s="172">
        <v>21</v>
      </c>
      <c r="B42" s="127"/>
      <c r="C42" s="128"/>
      <c r="D42" s="129"/>
      <c r="E42" s="130"/>
      <c r="F42" s="130"/>
      <c r="G42" s="131"/>
      <c r="H42" s="129"/>
      <c r="I42" s="130"/>
      <c r="J42" s="130"/>
      <c r="K42" s="131"/>
      <c r="L42" s="130"/>
      <c r="M42" s="130"/>
      <c r="N42" s="130"/>
      <c r="O42" s="131"/>
      <c r="P42" s="132"/>
      <c r="Q42" s="173"/>
      <c r="R42" s="174"/>
      <c r="S42" s="174"/>
      <c r="T42" s="133"/>
      <c r="U42" s="133"/>
      <c r="V42" s="175"/>
    </row>
    <row r="43" spans="1:26" ht="12.75" x14ac:dyDescent="0.2">
      <c r="A43" s="165"/>
      <c r="B43" s="134"/>
      <c r="C43" s="135"/>
      <c r="D43" s="136"/>
      <c r="E43" s="137"/>
      <c r="F43" s="137"/>
      <c r="G43" s="138"/>
      <c r="H43" s="136"/>
      <c r="I43" s="137"/>
      <c r="J43" s="137"/>
      <c r="K43" s="138"/>
      <c r="L43" s="137"/>
      <c r="M43" s="137"/>
      <c r="N43" s="137"/>
      <c r="O43" s="138"/>
      <c r="P43" s="139"/>
      <c r="Q43" s="165"/>
      <c r="R43" s="159"/>
      <c r="S43" s="159"/>
      <c r="T43" s="140"/>
      <c r="U43" s="140"/>
      <c r="V43" s="159"/>
      <c r="W43" s="141"/>
      <c r="X43" s="141"/>
      <c r="Y43" s="141"/>
      <c r="Z43" s="141"/>
    </row>
    <row r="44" spans="1:26" ht="12.75" x14ac:dyDescent="0.2">
      <c r="A44" s="172">
        <v>22</v>
      </c>
      <c r="B44" s="127"/>
      <c r="C44" s="128"/>
      <c r="D44" s="129"/>
      <c r="E44" s="130"/>
      <c r="F44" s="130"/>
      <c r="G44" s="131"/>
      <c r="H44" s="129"/>
      <c r="I44" s="130"/>
      <c r="J44" s="130"/>
      <c r="K44" s="131"/>
      <c r="L44" s="130"/>
      <c r="M44" s="130"/>
      <c r="N44" s="130"/>
      <c r="O44" s="131"/>
      <c r="P44" s="132"/>
      <c r="Q44" s="173"/>
      <c r="R44" s="174"/>
      <c r="S44" s="174"/>
      <c r="T44" s="133"/>
      <c r="U44" s="133"/>
      <c r="V44" s="175"/>
    </row>
    <row r="45" spans="1:26" ht="12.75" x14ac:dyDescent="0.2">
      <c r="A45" s="165"/>
      <c r="B45" s="134"/>
      <c r="C45" s="135"/>
      <c r="D45" s="136"/>
      <c r="E45" s="137"/>
      <c r="F45" s="137"/>
      <c r="G45" s="138"/>
      <c r="H45" s="136"/>
      <c r="I45" s="137"/>
      <c r="J45" s="137"/>
      <c r="K45" s="138"/>
      <c r="L45" s="137"/>
      <c r="M45" s="137"/>
      <c r="N45" s="137"/>
      <c r="O45" s="138"/>
      <c r="P45" s="139"/>
      <c r="Q45" s="165"/>
      <c r="R45" s="159"/>
      <c r="S45" s="159"/>
      <c r="T45" s="140"/>
      <c r="U45" s="140"/>
      <c r="V45" s="159"/>
      <c r="W45" s="141"/>
      <c r="X45" s="141"/>
      <c r="Y45" s="141"/>
      <c r="Z45" s="141"/>
    </row>
    <row r="46" spans="1:26" ht="12.75" x14ac:dyDescent="0.2">
      <c r="A46" s="172">
        <v>23</v>
      </c>
      <c r="B46" s="127"/>
      <c r="C46" s="128"/>
      <c r="D46" s="129"/>
      <c r="E46" s="130"/>
      <c r="F46" s="130"/>
      <c r="G46" s="131"/>
      <c r="H46" s="129"/>
      <c r="I46" s="130"/>
      <c r="J46" s="130"/>
      <c r="K46" s="131"/>
      <c r="L46" s="130"/>
      <c r="M46" s="130"/>
      <c r="N46" s="130"/>
      <c r="O46" s="131"/>
      <c r="P46" s="132"/>
      <c r="Q46" s="173"/>
      <c r="R46" s="174"/>
      <c r="S46" s="174"/>
      <c r="T46" s="133"/>
      <c r="U46" s="133"/>
      <c r="V46" s="175"/>
    </row>
    <row r="47" spans="1:26" ht="12.75" x14ac:dyDescent="0.2">
      <c r="A47" s="165"/>
      <c r="B47" s="134"/>
      <c r="C47" s="135"/>
      <c r="D47" s="136"/>
      <c r="E47" s="137"/>
      <c r="F47" s="137"/>
      <c r="G47" s="138"/>
      <c r="H47" s="136"/>
      <c r="I47" s="137"/>
      <c r="J47" s="137"/>
      <c r="K47" s="138"/>
      <c r="L47" s="137"/>
      <c r="M47" s="137"/>
      <c r="N47" s="137"/>
      <c r="O47" s="138"/>
      <c r="P47" s="139"/>
      <c r="Q47" s="165"/>
      <c r="R47" s="159"/>
      <c r="S47" s="159"/>
      <c r="T47" s="140"/>
      <c r="U47" s="140"/>
      <c r="V47" s="159"/>
      <c r="W47" s="141"/>
      <c r="X47" s="141"/>
      <c r="Y47" s="141"/>
      <c r="Z47" s="141"/>
    </row>
    <row r="48" spans="1:26" ht="12.75" x14ac:dyDescent="0.2">
      <c r="A48" s="172">
        <v>24</v>
      </c>
      <c r="B48" s="127"/>
      <c r="C48" s="128"/>
      <c r="D48" s="129"/>
      <c r="E48" s="130"/>
      <c r="F48" s="130"/>
      <c r="G48" s="131"/>
      <c r="H48" s="129"/>
      <c r="I48" s="130"/>
      <c r="J48" s="130"/>
      <c r="K48" s="131"/>
      <c r="L48" s="130"/>
      <c r="M48" s="130"/>
      <c r="N48" s="130"/>
      <c r="O48" s="131"/>
      <c r="P48" s="132"/>
      <c r="Q48" s="173"/>
      <c r="R48" s="174"/>
      <c r="S48" s="174"/>
      <c r="T48" s="133"/>
      <c r="U48" s="133"/>
      <c r="V48" s="175"/>
    </row>
    <row r="49" spans="1:26" ht="12.75" x14ac:dyDescent="0.2">
      <c r="A49" s="165"/>
      <c r="B49" s="134"/>
      <c r="C49" s="135"/>
      <c r="D49" s="136"/>
      <c r="E49" s="137"/>
      <c r="F49" s="137"/>
      <c r="G49" s="138"/>
      <c r="H49" s="136"/>
      <c r="I49" s="137"/>
      <c r="J49" s="137"/>
      <c r="K49" s="138"/>
      <c r="L49" s="137"/>
      <c r="M49" s="137"/>
      <c r="N49" s="137"/>
      <c r="O49" s="138"/>
      <c r="P49" s="139"/>
      <c r="Q49" s="165"/>
      <c r="R49" s="159"/>
      <c r="S49" s="159"/>
      <c r="T49" s="140"/>
      <c r="U49" s="140"/>
      <c r="V49" s="159"/>
      <c r="W49" s="141"/>
      <c r="X49" s="141"/>
      <c r="Y49" s="141"/>
      <c r="Z49" s="141"/>
    </row>
    <row r="50" spans="1:26" ht="12.75" x14ac:dyDescent="0.2">
      <c r="A50" s="172">
        <v>25</v>
      </c>
      <c r="B50" s="127"/>
      <c r="C50" s="128"/>
      <c r="D50" s="129"/>
      <c r="E50" s="130"/>
      <c r="F50" s="130"/>
      <c r="G50" s="131"/>
      <c r="H50" s="129"/>
      <c r="I50" s="130"/>
      <c r="J50" s="130"/>
      <c r="K50" s="131"/>
      <c r="L50" s="130"/>
      <c r="M50" s="130"/>
      <c r="N50" s="130"/>
      <c r="O50" s="131"/>
      <c r="P50" s="132"/>
      <c r="Q50" s="173"/>
      <c r="R50" s="174"/>
      <c r="S50" s="174"/>
      <c r="T50" s="133"/>
      <c r="U50" s="133"/>
      <c r="V50" s="175"/>
    </row>
    <row r="51" spans="1:26" ht="12.75" x14ac:dyDescent="0.2">
      <c r="A51" s="165"/>
      <c r="B51" s="134"/>
      <c r="C51" s="135"/>
      <c r="D51" s="136"/>
      <c r="E51" s="137"/>
      <c r="F51" s="137"/>
      <c r="G51" s="138"/>
      <c r="H51" s="136"/>
      <c r="I51" s="137"/>
      <c r="J51" s="137"/>
      <c r="K51" s="138"/>
      <c r="L51" s="137"/>
      <c r="M51" s="137"/>
      <c r="N51" s="137"/>
      <c r="O51" s="138"/>
      <c r="P51" s="139"/>
      <c r="Q51" s="165"/>
      <c r="R51" s="159"/>
      <c r="S51" s="159"/>
      <c r="T51" s="140"/>
      <c r="U51" s="140"/>
      <c r="V51" s="159"/>
      <c r="W51" s="141"/>
      <c r="X51" s="141"/>
      <c r="Y51" s="141"/>
      <c r="Z51" s="141"/>
    </row>
    <row r="52" spans="1:26" ht="12.75" x14ac:dyDescent="0.2">
      <c r="A52" s="172">
        <v>26</v>
      </c>
      <c r="B52" s="127"/>
      <c r="C52" s="128"/>
      <c r="D52" s="129"/>
      <c r="E52" s="130"/>
      <c r="F52" s="130"/>
      <c r="G52" s="131"/>
      <c r="H52" s="129"/>
      <c r="I52" s="130"/>
      <c r="J52" s="130"/>
      <c r="K52" s="131"/>
      <c r="L52" s="130"/>
      <c r="M52" s="130"/>
      <c r="N52" s="130"/>
      <c r="O52" s="131"/>
      <c r="P52" s="132"/>
      <c r="Q52" s="173"/>
      <c r="R52" s="174"/>
      <c r="S52" s="174"/>
      <c r="T52" s="133"/>
      <c r="U52" s="133"/>
      <c r="V52" s="175"/>
    </row>
    <row r="53" spans="1:26" ht="12.75" x14ac:dyDescent="0.2">
      <c r="A53" s="165"/>
      <c r="B53" s="134"/>
      <c r="C53" s="135"/>
      <c r="D53" s="136"/>
      <c r="E53" s="137"/>
      <c r="F53" s="137"/>
      <c r="G53" s="138"/>
      <c r="H53" s="136"/>
      <c r="I53" s="137"/>
      <c r="J53" s="137"/>
      <c r="K53" s="138"/>
      <c r="L53" s="137"/>
      <c r="M53" s="137"/>
      <c r="N53" s="137"/>
      <c r="O53" s="138"/>
      <c r="P53" s="139"/>
      <c r="Q53" s="165"/>
      <c r="R53" s="159"/>
      <c r="S53" s="159"/>
      <c r="T53" s="140"/>
      <c r="U53" s="140"/>
      <c r="V53" s="159"/>
      <c r="W53" s="141"/>
      <c r="X53" s="141"/>
      <c r="Y53" s="141"/>
      <c r="Z53" s="141"/>
    </row>
    <row r="54" spans="1:26" ht="12.75" x14ac:dyDescent="0.2">
      <c r="A54" s="172">
        <v>27</v>
      </c>
      <c r="B54" s="127"/>
      <c r="C54" s="128"/>
      <c r="D54" s="129"/>
      <c r="E54" s="130"/>
      <c r="F54" s="130"/>
      <c r="G54" s="131"/>
      <c r="H54" s="129"/>
      <c r="I54" s="130"/>
      <c r="J54" s="130"/>
      <c r="K54" s="131"/>
      <c r="L54" s="130"/>
      <c r="M54" s="130"/>
      <c r="N54" s="130"/>
      <c r="O54" s="131"/>
      <c r="P54" s="132"/>
      <c r="Q54" s="173"/>
      <c r="R54" s="174"/>
      <c r="S54" s="174"/>
      <c r="T54" s="133"/>
      <c r="U54" s="133"/>
      <c r="V54" s="175"/>
    </row>
    <row r="55" spans="1:26" ht="12.75" x14ac:dyDescent="0.2">
      <c r="A55" s="180"/>
      <c r="B55" s="134"/>
      <c r="C55" s="135"/>
      <c r="D55" s="136"/>
      <c r="E55" s="137"/>
      <c r="F55" s="137"/>
      <c r="G55" s="138"/>
      <c r="H55" s="136"/>
      <c r="I55" s="137"/>
      <c r="J55" s="137"/>
      <c r="K55" s="138"/>
      <c r="L55" s="137"/>
      <c r="M55" s="137"/>
      <c r="N55" s="137"/>
      <c r="O55" s="138"/>
      <c r="P55" s="139"/>
      <c r="Q55" s="165"/>
      <c r="R55" s="159"/>
      <c r="S55" s="159"/>
      <c r="T55" s="140"/>
      <c r="U55" s="140"/>
      <c r="V55" s="159"/>
      <c r="W55" s="141"/>
      <c r="X55" s="141"/>
      <c r="Y55" s="141"/>
      <c r="Z55" s="141"/>
    </row>
    <row r="56" spans="1:26" ht="12.75" x14ac:dyDescent="0.2">
      <c r="A56" s="172">
        <v>28</v>
      </c>
      <c r="B56" s="127"/>
      <c r="C56" s="128"/>
      <c r="D56" s="129"/>
      <c r="E56" s="130"/>
      <c r="F56" s="130"/>
      <c r="G56" s="131"/>
      <c r="H56" s="129"/>
      <c r="I56" s="130"/>
      <c r="J56" s="130"/>
      <c r="K56" s="131"/>
      <c r="L56" s="130"/>
      <c r="M56" s="130"/>
      <c r="N56" s="130"/>
      <c r="O56" s="131"/>
      <c r="P56" s="132"/>
      <c r="Q56" s="173"/>
      <c r="R56" s="174"/>
      <c r="S56" s="174"/>
      <c r="T56" s="133"/>
      <c r="U56" s="133"/>
      <c r="V56" s="175"/>
    </row>
    <row r="57" spans="1:26" ht="12.75" x14ac:dyDescent="0.2">
      <c r="A57" s="180"/>
      <c r="B57" s="134"/>
      <c r="C57" s="135"/>
      <c r="D57" s="136"/>
      <c r="E57" s="137"/>
      <c r="F57" s="137"/>
      <c r="G57" s="138"/>
      <c r="H57" s="136"/>
      <c r="I57" s="137"/>
      <c r="J57" s="137"/>
      <c r="K57" s="138"/>
      <c r="L57" s="137"/>
      <c r="M57" s="137"/>
      <c r="N57" s="137"/>
      <c r="O57" s="138"/>
      <c r="P57" s="139"/>
      <c r="Q57" s="165"/>
      <c r="R57" s="159"/>
      <c r="S57" s="159"/>
      <c r="T57" s="140"/>
      <c r="U57" s="140"/>
      <c r="V57" s="159"/>
      <c r="W57" s="141"/>
      <c r="X57" s="141"/>
      <c r="Y57" s="141"/>
      <c r="Z57" s="141"/>
    </row>
    <row r="58" spans="1:26" ht="12.75" x14ac:dyDescent="0.2">
      <c r="A58" s="172">
        <v>29</v>
      </c>
      <c r="B58" s="127"/>
      <c r="C58" s="128"/>
      <c r="D58" s="129"/>
      <c r="E58" s="130"/>
      <c r="F58" s="130"/>
      <c r="G58" s="131"/>
      <c r="H58" s="129"/>
      <c r="I58" s="130"/>
      <c r="J58" s="130"/>
      <c r="K58" s="131"/>
      <c r="L58" s="130"/>
      <c r="M58" s="130"/>
      <c r="N58" s="130"/>
      <c r="O58" s="131"/>
      <c r="P58" s="132"/>
      <c r="Q58" s="173"/>
      <c r="R58" s="174"/>
      <c r="S58" s="174"/>
      <c r="T58" s="133"/>
      <c r="U58" s="133"/>
      <c r="V58" s="175"/>
    </row>
    <row r="59" spans="1:26" ht="12.75" x14ac:dyDescent="0.2">
      <c r="A59" s="180"/>
      <c r="B59" s="134"/>
      <c r="C59" s="135"/>
      <c r="D59" s="136"/>
      <c r="E59" s="137"/>
      <c r="F59" s="137"/>
      <c r="G59" s="138"/>
      <c r="H59" s="136"/>
      <c r="I59" s="137"/>
      <c r="J59" s="137"/>
      <c r="K59" s="138"/>
      <c r="L59" s="137"/>
      <c r="M59" s="137"/>
      <c r="N59" s="137"/>
      <c r="O59" s="138"/>
      <c r="P59" s="139"/>
      <c r="Q59" s="165"/>
      <c r="R59" s="159"/>
      <c r="S59" s="159"/>
      <c r="T59" s="140"/>
      <c r="U59" s="140"/>
      <c r="V59" s="159"/>
      <c r="W59" s="141"/>
      <c r="X59" s="141"/>
      <c r="Y59" s="141"/>
      <c r="Z59" s="141"/>
    </row>
    <row r="60" spans="1:26" ht="12.75" x14ac:dyDescent="0.2">
      <c r="A60" s="172">
        <v>30</v>
      </c>
      <c r="B60" s="127"/>
      <c r="C60" s="128"/>
      <c r="D60" s="129"/>
      <c r="E60" s="130"/>
      <c r="F60" s="130"/>
      <c r="G60" s="131"/>
      <c r="H60" s="129"/>
      <c r="I60" s="130"/>
      <c r="J60" s="130"/>
      <c r="K60" s="131"/>
      <c r="L60" s="130"/>
      <c r="M60" s="130"/>
      <c r="N60" s="130"/>
      <c r="O60" s="131"/>
      <c r="P60" s="132"/>
      <c r="Q60" s="173"/>
      <c r="R60" s="174"/>
      <c r="S60" s="174"/>
      <c r="T60" s="133"/>
      <c r="U60" s="133"/>
      <c r="V60" s="175"/>
    </row>
    <row r="61" spans="1:26" ht="12.75" x14ac:dyDescent="0.2">
      <c r="A61" s="180"/>
      <c r="B61" s="134"/>
      <c r="C61" s="135"/>
      <c r="D61" s="136"/>
      <c r="E61" s="137"/>
      <c r="F61" s="137"/>
      <c r="G61" s="138"/>
      <c r="H61" s="136"/>
      <c r="I61" s="137"/>
      <c r="J61" s="137"/>
      <c r="K61" s="138"/>
      <c r="L61" s="137"/>
      <c r="M61" s="137"/>
      <c r="N61" s="137"/>
      <c r="O61" s="138"/>
      <c r="P61" s="139"/>
      <c r="Q61" s="165"/>
      <c r="R61" s="159"/>
      <c r="S61" s="159"/>
      <c r="T61" s="140"/>
      <c r="U61" s="140"/>
      <c r="V61" s="159"/>
      <c r="W61" s="141"/>
      <c r="X61" s="141"/>
      <c r="Y61" s="141"/>
      <c r="Z61" s="141"/>
    </row>
    <row r="62" spans="1:26" ht="12.75" x14ac:dyDescent="0.2">
      <c r="A62" s="172">
        <v>31</v>
      </c>
      <c r="B62" s="127"/>
      <c r="C62" s="128"/>
      <c r="D62" s="129"/>
      <c r="E62" s="130"/>
      <c r="F62" s="130"/>
      <c r="G62" s="131"/>
      <c r="H62" s="129"/>
      <c r="I62" s="130"/>
      <c r="J62" s="130"/>
      <c r="K62" s="131"/>
      <c r="L62" s="130"/>
      <c r="M62" s="130"/>
      <c r="N62" s="130"/>
      <c r="O62" s="131"/>
      <c r="P62" s="132"/>
      <c r="Q62" s="173"/>
      <c r="R62" s="174"/>
      <c r="S62" s="174"/>
      <c r="T62" s="133"/>
      <c r="U62" s="133"/>
      <c r="V62" s="175"/>
    </row>
    <row r="63" spans="1:26" ht="12.75" x14ac:dyDescent="0.2">
      <c r="A63" s="180"/>
      <c r="B63" s="134"/>
      <c r="C63" s="135"/>
      <c r="D63" s="136"/>
      <c r="E63" s="137"/>
      <c r="F63" s="137"/>
      <c r="G63" s="138"/>
      <c r="H63" s="136"/>
      <c r="I63" s="137"/>
      <c r="J63" s="137"/>
      <c r="K63" s="138"/>
      <c r="L63" s="137"/>
      <c r="M63" s="137"/>
      <c r="N63" s="137"/>
      <c r="O63" s="138"/>
      <c r="P63" s="139"/>
      <c r="Q63" s="165"/>
      <c r="R63" s="159"/>
      <c r="S63" s="159"/>
      <c r="T63" s="140"/>
      <c r="U63" s="140"/>
      <c r="V63" s="159"/>
      <c r="W63" s="141"/>
      <c r="X63" s="141"/>
      <c r="Y63" s="141"/>
      <c r="Z63" s="141"/>
    </row>
    <row r="64" spans="1:26" ht="12.75" x14ac:dyDescent="0.2">
      <c r="A64" s="172">
        <v>32</v>
      </c>
      <c r="B64" s="127"/>
      <c r="C64" s="128"/>
      <c r="D64" s="129"/>
      <c r="E64" s="130"/>
      <c r="F64" s="130"/>
      <c r="G64" s="131"/>
      <c r="H64" s="129"/>
      <c r="I64" s="130"/>
      <c r="J64" s="130"/>
      <c r="K64" s="131"/>
      <c r="L64" s="130"/>
      <c r="M64" s="130"/>
      <c r="N64" s="130"/>
      <c r="O64" s="131"/>
      <c r="P64" s="132"/>
      <c r="Q64" s="173"/>
      <c r="R64" s="174"/>
      <c r="S64" s="174"/>
      <c r="T64" s="133"/>
      <c r="U64" s="133"/>
      <c r="V64" s="175"/>
    </row>
    <row r="65" spans="1:26" ht="12.75" x14ac:dyDescent="0.2">
      <c r="A65" s="180"/>
      <c r="B65" s="134"/>
      <c r="C65" s="135"/>
      <c r="D65" s="136"/>
      <c r="E65" s="137"/>
      <c r="F65" s="137"/>
      <c r="G65" s="138"/>
      <c r="H65" s="136"/>
      <c r="I65" s="137"/>
      <c r="J65" s="137"/>
      <c r="K65" s="138"/>
      <c r="L65" s="137"/>
      <c r="M65" s="137"/>
      <c r="N65" s="137"/>
      <c r="O65" s="138"/>
      <c r="P65" s="139"/>
      <c r="Q65" s="165"/>
      <c r="R65" s="159"/>
      <c r="S65" s="159"/>
      <c r="T65" s="140"/>
      <c r="U65" s="140"/>
      <c r="V65" s="159"/>
      <c r="W65" s="141"/>
      <c r="X65" s="141"/>
      <c r="Y65" s="141"/>
      <c r="Z65" s="141"/>
    </row>
    <row r="66" spans="1:26" ht="12.75" x14ac:dyDescent="0.2">
      <c r="A66" s="172">
        <v>33</v>
      </c>
      <c r="B66" s="127"/>
      <c r="C66" s="128"/>
      <c r="D66" s="129"/>
      <c r="E66" s="130"/>
      <c r="F66" s="130"/>
      <c r="G66" s="131"/>
      <c r="H66" s="129"/>
      <c r="I66" s="130"/>
      <c r="J66" s="130"/>
      <c r="K66" s="131"/>
      <c r="L66" s="130"/>
      <c r="M66" s="130"/>
      <c r="N66" s="130"/>
      <c r="O66" s="131"/>
      <c r="P66" s="132"/>
      <c r="Q66" s="173"/>
      <c r="R66" s="174"/>
      <c r="S66" s="174"/>
      <c r="T66" s="133"/>
      <c r="U66" s="133"/>
      <c r="V66" s="175"/>
    </row>
    <row r="67" spans="1:26" ht="12.75" x14ac:dyDescent="0.2">
      <c r="A67" s="180"/>
      <c r="B67" s="134"/>
      <c r="C67" s="135"/>
      <c r="D67" s="136"/>
      <c r="E67" s="137"/>
      <c r="F67" s="137"/>
      <c r="G67" s="138"/>
      <c r="H67" s="136"/>
      <c r="I67" s="137"/>
      <c r="J67" s="137"/>
      <c r="K67" s="138"/>
      <c r="L67" s="137"/>
      <c r="M67" s="137"/>
      <c r="N67" s="137"/>
      <c r="O67" s="138"/>
      <c r="P67" s="139"/>
      <c r="Q67" s="165"/>
      <c r="R67" s="159"/>
      <c r="S67" s="159"/>
      <c r="T67" s="140"/>
      <c r="U67" s="140"/>
      <c r="V67" s="159"/>
      <c r="W67" s="141"/>
      <c r="X67" s="141"/>
      <c r="Y67" s="141"/>
      <c r="Z67" s="141"/>
    </row>
    <row r="68" spans="1:26" ht="12.75" x14ac:dyDescent="0.2">
      <c r="A68" s="172">
        <v>34</v>
      </c>
      <c r="B68" s="127"/>
      <c r="C68" s="128"/>
      <c r="D68" s="129"/>
      <c r="E68" s="130"/>
      <c r="F68" s="130"/>
      <c r="G68" s="131"/>
      <c r="H68" s="129"/>
      <c r="I68" s="130"/>
      <c r="J68" s="130"/>
      <c r="K68" s="131"/>
      <c r="L68" s="130"/>
      <c r="M68" s="130"/>
      <c r="N68" s="130"/>
      <c r="O68" s="131"/>
      <c r="P68" s="132"/>
      <c r="Q68" s="173"/>
      <c r="R68" s="174"/>
      <c r="S68" s="174"/>
      <c r="T68" s="133"/>
      <c r="U68" s="133"/>
      <c r="V68" s="175"/>
    </row>
    <row r="69" spans="1:26" ht="12.75" x14ac:dyDescent="0.2">
      <c r="A69" s="180"/>
      <c r="B69" s="134"/>
      <c r="C69" s="135"/>
      <c r="D69" s="136"/>
      <c r="E69" s="137"/>
      <c r="F69" s="137"/>
      <c r="G69" s="138"/>
      <c r="H69" s="136"/>
      <c r="I69" s="137"/>
      <c r="J69" s="137"/>
      <c r="K69" s="138"/>
      <c r="L69" s="137"/>
      <c r="M69" s="137"/>
      <c r="N69" s="137"/>
      <c r="O69" s="138"/>
      <c r="P69" s="139"/>
      <c r="Q69" s="165"/>
      <c r="R69" s="159"/>
      <c r="S69" s="159"/>
      <c r="T69" s="140"/>
      <c r="U69" s="140"/>
      <c r="V69" s="159"/>
      <c r="W69" s="141"/>
      <c r="X69" s="141"/>
      <c r="Y69" s="141"/>
      <c r="Z69" s="141"/>
    </row>
    <row r="70" spans="1:26" ht="12.75" x14ac:dyDescent="0.2">
      <c r="A70" s="172">
        <v>35</v>
      </c>
      <c r="B70" s="127"/>
      <c r="C70" s="128"/>
      <c r="D70" s="129"/>
      <c r="E70" s="130"/>
      <c r="F70" s="130"/>
      <c r="G70" s="131"/>
      <c r="H70" s="129"/>
      <c r="I70" s="130"/>
      <c r="J70" s="130"/>
      <c r="K70" s="131"/>
      <c r="L70" s="130"/>
      <c r="M70" s="130"/>
      <c r="N70" s="130"/>
      <c r="O70" s="131"/>
      <c r="P70" s="132"/>
      <c r="Q70" s="173"/>
      <c r="R70" s="174"/>
      <c r="S70" s="174"/>
      <c r="T70" s="133"/>
      <c r="U70" s="133"/>
      <c r="V70" s="175"/>
    </row>
    <row r="71" spans="1:26" ht="12.75" x14ac:dyDescent="0.2">
      <c r="A71" s="180"/>
      <c r="B71" s="134"/>
      <c r="C71" s="135"/>
      <c r="D71" s="136"/>
      <c r="E71" s="137"/>
      <c r="F71" s="137"/>
      <c r="G71" s="138"/>
      <c r="H71" s="136"/>
      <c r="I71" s="137"/>
      <c r="J71" s="137"/>
      <c r="K71" s="138"/>
      <c r="L71" s="137"/>
      <c r="M71" s="137"/>
      <c r="N71" s="137"/>
      <c r="O71" s="138"/>
      <c r="P71" s="139"/>
      <c r="Q71" s="165"/>
      <c r="R71" s="159"/>
      <c r="S71" s="159"/>
      <c r="T71" s="140"/>
      <c r="U71" s="140"/>
      <c r="V71" s="159"/>
      <c r="W71" s="141"/>
      <c r="X71" s="141"/>
      <c r="Y71" s="141"/>
      <c r="Z71" s="141"/>
    </row>
    <row r="72" spans="1:26" ht="12.75" x14ac:dyDescent="0.2">
      <c r="A72" s="172">
        <v>36</v>
      </c>
      <c r="B72" s="127"/>
      <c r="C72" s="128"/>
      <c r="D72" s="129"/>
      <c r="E72" s="130"/>
      <c r="F72" s="130"/>
      <c r="G72" s="131"/>
      <c r="H72" s="129"/>
      <c r="I72" s="130"/>
      <c r="J72" s="130"/>
      <c r="K72" s="131"/>
      <c r="L72" s="130"/>
      <c r="M72" s="130"/>
      <c r="N72" s="130"/>
      <c r="O72" s="131"/>
      <c r="P72" s="132"/>
      <c r="Q72" s="173"/>
      <c r="R72" s="174"/>
      <c r="S72" s="174"/>
      <c r="T72" s="133"/>
      <c r="U72" s="133"/>
      <c r="V72" s="175"/>
    </row>
    <row r="73" spans="1:26" ht="12.75" x14ac:dyDescent="0.2">
      <c r="A73" s="180"/>
      <c r="B73" s="134"/>
      <c r="C73" s="135"/>
      <c r="D73" s="136"/>
      <c r="E73" s="137"/>
      <c r="F73" s="137"/>
      <c r="G73" s="138"/>
      <c r="H73" s="136"/>
      <c r="I73" s="137"/>
      <c r="J73" s="137"/>
      <c r="K73" s="138"/>
      <c r="L73" s="137"/>
      <c r="M73" s="137"/>
      <c r="N73" s="137"/>
      <c r="O73" s="138"/>
      <c r="P73" s="139"/>
      <c r="Q73" s="165"/>
      <c r="R73" s="159"/>
      <c r="S73" s="159"/>
      <c r="T73" s="140"/>
      <c r="U73" s="140"/>
      <c r="V73" s="159"/>
      <c r="W73" s="141"/>
      <c r="X73" s="141"/>
      <c r="Y73" s="141"/>
      <c r="Z73" s="141"/>
    </row>
    <row r="74" spans="1:26" ht="12.75" x14ac:dyDescent="0.2">
      <c r="A74" s="172">
        <v>37</v>
      </c>
      <c r="B74" s="127"/>
      <c r="C74" s="128"/>
      <c r="D74" s="129"/>
      <c r="E74" s="130"/>
      <c r="F74" s="130"/>
      <c r="G74" s="131"/>
      <c r="H74" s="129"/>
      <c r="I74" s="130"/>
      <c r="J74" s="130"/>
      <c r="K74" s="131"/>
      <c r="L74" s="130"/>
      <c r="M74" s="130"/>
      <c r="N74" s="130"/>
      <c r="O74" s="131"/>
      <c r="P74" s="132"/>
      <c r="Q74" s="173"/>
      <c r="R74" s="174"/>
      <c r="S74" s="174"/>
      <c r="T74" s="133"/>
      <c r="U74" s="133"/>
      <c r="V74" s="175"/>
    </row>
    <row r="75" spans="1:26" ht="12.75" x14ac:dyDescent="0.2">
      <c r="A75" s="180"/>
      <c r="B75" s="134"/>
      <c r="C75" s="135"/>
      <c r="D75" s="136"/>
      <c r="E75" s="137"/>
      <c r="F75" s="137"/>
      <c r="G75" s="138"/>
      <c r="H75" s="136"/>
      <c r="I75" s="137"/>
      <c r="J75" s="137"/>
      <c r="K75" s="138"/>
      <c r="L75" s="137"/>
      <c r="M75" s="137"/>
      <c r="N75" s="137"/>
      <c r="O75" s="138"/>
      <c r="P75" s="139"/>
      <c r="Q75" s="165"/>
      <c r="R75" s="159"/>
      <c r="S75" s="159"/>
      <c r="T75" s="140"/>
      <c r="U75" s="140"/>
      <c r="V75" s="159"/>
      <c r="W75" s="141"/>
      <c r="X75" s="141"/>
      <c r="Y75" s="141"/>
      <c r="Z75" s="141"/>
    </row>
    <row r="76" spans="1:26" ht="12.75" x14ac:dyDescent="0.2">
      <c r="A76" s="172">
        <v>38</v>
      </c>
      <c r="B76" s="127"/>
      <c r="C76" s="128"/>
      <c r="D76" s="129"/>
      <c r="E76" s="130"/>
      <c r="F76" s="130"/>
      <c r="G76" s="131"/>
      <c r="H76" s="129"/>
      <c r="I76" s="130"/>
      <c r="J76" s="130"/>
      <c r="K76" s="131"/>
      <c r="L76" s="130"/>
      <c r="M76" s="130"/>
      <c r="N76" s="130"/>
      <c r="O76" s="131"/>
      <c r="P76" s="132"/>
      <c r="Q76" s="173"/>
      <c r="R76" s="174"/>
      <c r="S76" s="174"/>
      <c r="T76" s="133"/>
      <c r="U76" s="133"/>
      <c r="V76" s="175"/>
    </row>
    <row r="77" spans="1:26" ht="12.75" x14ac:dyDescent="0.2">
      <c r="A77" s="180"/>
      <c r="B77" s="134"/>
      <c r="C77" s="135"/>
      <c r="D77" s="136"/>
      <c r="E77" s="137"/>
      <c r="F77" s="137"/>
      <c r="G77" s="138"/>
      <c r="H77" s="136"/>
      <c r="I77" s="137"/>
      <c r="J77" s="137"/>
      <c r="K77" s="138"/>
      <c r="L77" s="137"/>
      <c r="M77" s="137"/>
      <c r="N77" s="137"/>
      <c r="O77" s="138"/>
      <c r="P77" s="139"/>
      <c r="Q77" s="165"/>
      <c r="R77" s="159"/>
      <c r="S77" s="159"/>
      <c r="T77" s="140"/>
      <c r="U77" s="140"/>
      <c r="V77" s="159"/>
      <c r="W77" s="141"/>
      <c r="X77" s="141"/>
      <c r="Y77" s="141"/>
      <c r="Z77" s="141"/>
    </row>
    <row r="78" spans="1:26" ht="12.75" x14ac:dyDescent="0.2">
      <c r="A78" s="172">
        <v>39</v>
      </c>
      <c r="B78" s="127"/>
      <c r="C78" s="128"/>
      <c r="D78" s="129"/>
      <c r="E78" s="130"/>
      <c r="F78" s="130"/>
      <c r="G78" s="131"/>
      <c r="H78" s="129"/>
      <c r="I78" s="130"/>
      <c r="J78" s="130"/>
      <c r="K78" s="131"/>
      <c r="L78" s="130"/>
      <c r="M78" s="130"/>
      <c r="N78" s="130"/>
      <c r="O78" s="131"/>
      <c r="P78" s="132"/>
      <c r="Q78" s="173"/>
      <c r="R78" s="174"/>
      <c r="S78" s="174"/>
      <c r="T78" s="133"/>
      <c r="U78" s="133"/>
      <c r="V78" s="175"/>
    </row>
    <row r="79" spans="1:26" ht="12.75" x14ac:dyDescent="0.2">
      <c r="A79" s="180"/>
      <c r="B79" s="134"/>
      <c r="C79" s="135"/>
      <c r="D79" s="136"/>
      <c r="E79" s="137"/>
      <c r="F79" s="137"/>
      <c r="G79" s="138"/>
      <c r="H79" s="136"/>
      <c r="I79" s="137"/>
      <c r="J79" s="137"/>
      <c r="K79" s="138"/>
      <c r="L79" s="137"/>
      <c r="M79" s="137"/>
      <c r="N79" s="137"/>
      <c r="O79" s="138"/>
      <c r="P79" s="139"/>
      <c r="Q79" s="165"/>
      <c r="R79" s="159"/>
      <c r="S79" s="159"/>
      <c r="T79" s="140"/>
      <c r="U79" s="140"/>
      <c r="V79" s="159"/>
      <c r="W79" s="141"/>
      <c r="X79" s="141"/>
      <c r="Y79" s="141"/>
      <c r="Z79" s="141"/>
    </row>
    <row r="80" spans="1:26" ht="12.75" x14ac:dyDescent="0.2">
      <c r="A80" s="172">
        <v>40</v>
      </c>
      <c r="B80" s="127"/>
      <c r="C80" s="128"/>
      <c r="D80" s="129"/>
      <c r="E80" s="130"/>
      <c r="F80" s="130"/>
      <c r="G80" s="131"/>
      <c r="H80" s="129"/>
      <c r="I80" s="130"/>
      <c r="J80" s="130"/>
      <c r="K80" s="131"/>
      <c r="L80" s="130"/>
      <c r="M80" s="130"/>
      <c r="N80" s="130"/>
      <c r="O80" s="131"/>
      <c r="P80" s="132"/>
      <c r="Q80" s="173"/>
      <c r="R80" s="174"/>
      <c r="S80" s="174"/>
      <c r="T80" s="133"/>
      <c r="U80" s="133"/>
      <c r="V80" s="175"/>
    </row>
    <row r="81" spans="1:26" ht="12.75" x14ac:dyDescent="0.2">
      <c r="A81" s="165"/>
      <c r="B81" s="134"/>
      <c r="C81" s="135"/>
      <c r="D81" s="136"/>
      <c r="E81" s="137"/>
      <c r="F81" s="137"/>
      <c r="G81" s="138"/>
      <c r="H81" s="137"/>
      <c r="I81" s="137"/>
      <c r="J81" s="137"/>
      <c r="K81" s="138"/>
      <c r="L81" s="137"/>
      <c r="M81" s="137"/>
      <c r="N81" s="137"/>
      <c r="O81" s="138"/>
      <c r="P81" s="139"/>
      <c r="Q81" s="165"/>
      <c r="R81" s="159"/>
      <c r="S81" s="159"/>
      <c r="T81" s="140"/>
      <c r="U81" s="140"/>
      <c r="V81" s="159"/>
      <c r="W81" s="141"/>
      <c r="X81" s="141"/>
      <c r="Y81" s="141"/>
      <c r="Z81" s="141"/>
    </row>
  </sheetData>
  <mergeCells count="200">
    <mergeCell ref="A52:A53"/>
    <mergeCell ref="Q52:Q53"/>
    <mergeCell ref="R52:R53"/>
    <mergeCell ref="S52:S53"/>
    <mergeCell ref="V52:V53"/>
    <mergeCell ref="Q54:Q55"/>
    <mergeCell ref="V54:V55"/>
    <mergeCell ref="R50:R51"/>
    <mergeCell ref="S50:S51"/>
    <mergeCell ref="A54:A55"/>
    <mergeCell ref="A56:A57"/>
    <mergeCell ref="Q56:Q57"/>
    <mergeCell ref="R56:R57"/>
    <mergeCell ref="S56:S57"/>
    <mergeCell ref="V56:V57"/>
    <mergeCell ref="Q58:Q59"/>
    <mergeCell ref="V58:V59"/>
    <mergeCell ref="R54:R55"/>
    <mergeCell ref="S54:S55"/>
    <mergeCell ref="A58:A59"/>
    <mergeCell ref="A60:A61"/>
    <mergeCell ref="Q60:Q61"/>
    <mergeCell ref="R60:R61"/>
    <mergeCell ref="S60:S61"/>
    <mergeCell ref="V60:V61"/>
    <mergeCell ref="Q62:Q63"/>
    <mergeCell ref="V62:V63"/>
    <mergeCell ref="R58:R59"/>
    <mergeCell ref="S58:S59"/>
    <mergeCell ref="A62:A63"/>
    <mergeCell ref="A64:A65"/>
    <mergeCell ref="Q64:Q65"/>
    <mergeCell ref="R64:R65"/>
    <mergeCell ref="S64:S65"/>
    <mergeCell ref="V64:V65"/>
    <mergeCell ref="Q66:Q67"/>
    <mergeCell ref="V66:V67"/>
    <mergeCell ref="R62:R63"/>
    <mergeCell ref="S62:S63"/>
    <mergeCell ref="A66:A67"/>
    <mergeCell ref="A68:A69"/>
    <mergeCell ref="Q68:Q69"/>
    <mergeCell ref="R68:R69"/>
    <mergeCell ref="S68:S69"/>
    <mergeCell ref="V68:V69"/>
    <mergeCell ref="Q70:Q71"/>
    <mergeCell ref="V70:V71"/>
    <mergeCell ref="R66:R67"/>
    <mergeCell ref="S66:S67"/>
    <mergeCell ref="A70:A71"/>
    <mergeCell ref="A72:A73"/>
    <mergeCell ref="Q72:Q73"/>
    <mergeCell ref="R72:R73"/>
    <mergeCell ref="S72:S73"/>
    <mergeCell ref="V72:V73"/>
    <mergeCell ref="Q74:Q75"/>
    <mergeCell ref="V74:V75"/>
    <mergeCell ref="R70:R71"/>
    <mergeCell ref="S70:S71"/>
    <mergeCell ref="R78:R79"/>
    <mergeCell ref="S78:S79"/>
    <mergeCell ref="A74:A75"/>
    <mergeCell ref="A76:A77"/>
    <mergeCell ref="Q76:Q77"/>
    <mergeCell ref="R76:R77"/>
    <mergeCell ref="S76:S77"/>
    <mergeCell ref="V76:V77"/>
    <mergeCell ref="Q78:Q79"/>
    <mergeCell ref="V78:V79"/>
    <mergeCell ref="A78:A79"/>
    <mergeCell ref="R74:R75"/>
    <mergeCell ref="S74:S75"/>
    <mergeCell ref="V6:V7"/>
    <mergeCell ref="Q8:Q9"/>
    <mergeCell ref="R8:R9"/>
    <mergeCell ref="S8:S9"/>
    <mergeCell ref="Q10:Q11"/>
    <mergeCell ref="R10:R11"/>
    <mergeCell ref="S10:S11"/>
    <mergeCell ref="A2:A3"/>
    <mergeCell ref="Q2:Q3"/>
    <mergeCell ref="R2:R3"/>
    <mergeCell ref="S2:S3"/>
    <mergeCell ref="V2:V3"/>
    <mergeCell ref="Q4:Q5"/>
    <mergeCell ref="V4:V5"/>
    <mergeCell ref="R4:R5"/>
    <mergeCell ref="S4:S5"/>
    <mergeCell ref="R12:R13"/>
    <mergeCell ref="S12:S13"/>
    <mergeCell ref="A4:A5"/>
    <mergeCell ref="A6:A7"/>
    <mergeCell ref="A8:A9"/>
    <mergeCell ref="A10:A11"/>
    <mergeCell ref="A12:A13"/>
    <mergeCell ref="A14:A15"/>
    <mergeCell ref="A16:A17"/>
    <mergeCell ref="R14:R15"/>
    <mergeCell ref="S14:S15"/>
    <mergeCell ref="R16:R17"/>
    <mergeCell ref="S16:S17"/>
    <mergeCell ref="Q6:Q7"/>
    <mergeCell ref="R6:R7"/>
    <mergeCell ref="S6:S7"/>
    <mergeCell ref="A18:A19"/>
    <mergeCell ref="A20:A21"/>
    <mergeCell ref="A22:A23"/>
    <mergeCell ref="A24:A25"/>
    <mergeCell ref="A26:A27"/>
    <mergeCell ref="A28:A29"/>
    <mergeCell ref="A30:A31"/>
    <mergeCell ref="Q12:Q13"/>
    <mergeCell ref="Q14:Q15"/>
    <mergeCell ref="Q16:Q17"/>
    <mergeCell ref="Q24:Q25"/>
    <mergeCell ref="A80:A81"/>
    <mergeCell ref="Q80:Q81"/>
    <mergeCell ref="R80:R81"/>
    <mergeCell ref="S80:S81"/>
    <mergeCell ref="V80:V81"/>
    <mergeCell ref="A32:A33"/>
    <mergeCell ref="A34:A35"/>
    <mergeCell ref="A36:A37"/>
    <mergeCell ref="A38:A39"/>
    <mergeCell ref="A40:A41"/>
    <mergeCell ref="A42:A43"/>
    <mergeCell ref="A44:A45"/>
    <mergeCell ref="Q38:Q39"/>
    <mergeCell ref="Q40:Q41"/>
    <mergeCell ref="R40:R41"/>
    <mergeCell ref="S40:S41"/>
    <mergeCell ref="Q36:Q37"/>
    <mergeCell ref="R36:R37"/>
    <mergeCell ref="S36:S37"/>
    <mergeCell ref="V36:V37"/>
    <mergeCell ref="R38:R39"/>
    <mergeCell ref="S38:S39"/>
    <mergeCell ref="V38:V39"/>
    <mergeCell ref="V40:V41"/>
    <mergeCell ref="R22:R23"/>
    <mergeCell ref="S22:S23"/>
    <mergeCell ref="Q18:Q19"/>
    <mergeCell ref="R18:R19"/>
    <mergeCell ref="S18:S19"/>
    <mergeCell ref="Q20:Q21"/>
    <mergeCell ref="R20:R21"/>
    <mergeCell ref="S20:S21"/>
    <mergeCell ref="Q22:Q23"/>
    <mergeCell ref="V22:V23"/>
    <mergeCell ref="V24:V25"/>
    <mergeCell ref="V8:V9"/>
    <mergeCell ref="V10:V11"/>
    <mergeCell ref="V12:V13"/>
    <mergeCell ref="V14:V15"/>
    <mergeCell ref="V16:V17"/>
    <mergeCell ref="V18:V19"/>
    <mergeCell ref="V20:V21"/>
    <mergeCell ref="R24:R25"/>
    <mergeCell ref="S24:S25"/>
    <mergeCell ref="Q26:Q27"/>
    <mergeCell ref="R26:R27"/>
    <mergeCell ref="S26:S27"/>
    <mergeCell ref="V26:V27"/>
    <mergeCell ref="Q28:Q29"/>
    <mergeCell ref="R28:R29"/>
    <mergeCell ref="S28:S29"/>
    <mergeCell ref="V28:V29"/>
    <mergeCell ref="Q42:Q43"/>
    <mergeCell ref="R42:R43"/>
    <mergeCell ref="S42:S43"/>
    <mergeCell ref="V42:V43"/>
    <mergeCell ref="R44:R45"/>
    <mergeCell ref="S44:S45"/>
    <mergeCell ref="V44:V45"/>
    <mergeCell ref="V46:V47"/>
    <mergeCell ref="R30:R31"/>
    <mergeCell ref="S30:S31"/>
    <mergeCell ref="V30:V31"/>
    <mergeCell ref="V32:V33"/>
    <mergeCell ref="V34:V35"/>
    <mergeCell ref="Q30:Q31"/>
    <mergeCell ref="Q32:Q33"/>
    <mergeCell ref="R32:R33"/>
    <mergeCell ref="S32:S33"/>
    <mergeCell ref="Q34:Q35"/>
    <mergeCell ref="R34:R35"/>
    <mergeCell ref="S34:S35"/>
    <mergeCell ref="A46:A47"/>
    <mergeCell ref="A48:A49"/>
    <mergeCell ref="Q48:Q49"/>
    <mergeCell ref="R48:R49"/>
    <mergeCell ref="S48:S49"/>
    <mergeCell ref="V48:V49"/>
    <mergeCell ref="Q50:Q51"/>
    <mergeCell ref="V50:V51"/>
    <mergeCell ref="Q44:Q45"/>
    <mergeCell ref="Q46:Q47"/>
    <mergeCell ref="R46:R47"/>
    <mergeCell ref="S46:S47"/>
    <mergeCell ref="A50:A51"/>
  </mergeCells>
  <conditionalFormatting sqref="Q1:Q1000">
    <cfRule type="cellIs" dxfId="33" priority="1" operator="between">
      <formula>900</formula>
      <formula>999</formula>
    </cfRule>
    <cfRule type="cellIs" dxfId="32" priority="2" operator="between">
      <formula>800</formula>
      <formula>900</formula>
    </cfRule>
    <cfRule type="cellIs" dxfId="31" priority="5" operator="greaterThanOrEqual">
      <formula>1000</formula>
    </cfRule>
  </conditionalFormatting>
  <conditionalFormatting sqref="V1:V1000">
    <cfRule type="cellIs" dxfId="30" priority="3" operator="equal">
      <formula>"Š"</formula>
    </cfRule>
    <cfRule type="cellIs" dxfId="29" priority="4" operator="equal">
      <formula>"TV"</formula>
    </cfRule>
  </conditionalFormatting>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81"/>
  <sheetViews>
    <sheetView workbookViewId="0">
      <pane ySplit="1" topLeftCell="A2" activePane="bottomLeft" state="frozen"/>
      <selection activeCell="B3" sqref="B3"/>
      <selection pane="bottomLeft" activeCell="B3" sqref="B3"/>
    </sheetView>
  </sheetViews>
  <sheetFormatPr defaultColWidth="12.5703125" defaultRowHeight="15" customHeight="1" x14ac:dyDescent="0.2"/>
  <cols>
    <col min="1" max="1" width="6.5703125" customWidth="1"/>
    <col min="2" max="2" width="16.85546875" customWidth="1"/>
    <col min="3" max="3" width="14.85546875" customWidth="1"/>
    <col min="4" max="11" width="6.42578125" hidden="1" customWidth="1"/>
    <col min="12" max="15" width="6.42578125" customWidth="1"/>
    <col min="16" max="16" width="7.5703125" hidden="1" customWidth="1"/>
    <col min="17" max="17" width="7.5703125" customWidth="1"/>
    <col min="18" max="19" width="6.42578125" customWidth="1"/>
    <col min="20" max="21" width="6.42578125" hidden="1" customWidth="1"/>
    <col min="22" max="22" width="6.42578125" customWidth="1"/>
    <col min="23" max="24" width="6.42578125" hidden="1" customWidth="1"/>
    <col min="25" max="26" width="12.5703125" hidden="1"/>
  </cols>
  <sheetData>
    <row r="1" spans="1:27" ht="50.25" customHeight="1" x14ac:dyDescent="0.2">
      <c r="A1" s="101" t="s">
        <v>150</v>
      </c>
      <c r="B1" s="102" t="str">
        <f ca="1">IFERROR(__xludf.DUMMYFUNCTION("QUERY('2025'!C1:AB1000, ""SELECT * WHERE AA = 'S' AND Y = 'R' ORDER BY Q DESC, U DESC"", 1)
"),"Jméno")</f>
        <v>Jméno</v>
      </c>
      <c r="C1" s="103" t="str">
        <f ca="1">IFERROR(__xludf.DUMMYFUNCTION("""COMPUTED_VALUE"""),"oddíl")</f>
        <v>oddíl</v>
      </c>
      <c r="D1" s="104" t="str">
        <f ca="1">IFERROR(__xludf.DUMMYFUNCTION("""COMPUTED_VALUE"""),"")</f>
        <v/>
      </c>
      <c r="E1" s="104" t="str">
        <f ca="1">IFERROR(__xludf.DUMMYFUNCTION("""COMPUTED_VALUE"""),"")</f>
        <v/>
      </c>
      <c r="F1" s="104" t="str">
        <f ca="1">IFERROR(__xludf.DUMMYFUNCTION("""COMPUTED_VALUE"""),"")</f>
        <v/>
      </c>
      <c r="G1" s="104" t="str">
        <f ca="1">IFERROR(__xludf.DUMMYFUNCTION("""COMPUTED_VALUE"""),"")</f>
        <v/>
      </c>
      <c r="H1" s="104" t="str">
        <f ca="1">IFERROR(__xludf.DUMMYFUNCTION("""COMPUTED_VALUE"""),"")</f>
        <v/>
      </c>
      <c r="I1" s="104" t="str">
        <f ca="1">IFERROR(__xludf.DUMMYFUNCTION("""COMPUTED_VALUE"""),"")</f>
        <v/>
      </c>
      <c r="J1" s="104" t="str">
        <f ca="1">IFERROR(__xludf.DUMMYFUNCTION("""COMPUTED_VALUE"""),"")</f>
        <v/>
      </c>
      <c r="K1" s="104" t="str">
        <f ca="1">IFERROR(__xludf.DUMMYFUNCTION("""COMPUTED_VALUE"""),"")</f>
        <v/>
      </c>
      <c r="L1" s="105" t="str">
        <f ca="1">IFERROR(__xludf.DUMMYFUNCTION("""COMPUTED_VALUE"""),"Plné")</f>
        <v>Plné</v>
      </c>
      <c r="M1" s="105" t="str">
        <f ca="1">IFERROR(__xludf.DUMMYFUNCTION("""COMPUTED_VALUE"""),"Dorážka")</f>
        <v>Dorážka</v>
      </c>
      <c r="N1" s="105" t="str">
        <f ca="1">IFERROR(__xludf.DUMMYFUNCTION("""COMPUTED_VALUE"""),"Chyby")</f>
        <v>Chyby</v>
      </c>
      <c r="O1" s="106" t="str">
        <f ca="1">IFERROR(__xludf.DUMMYFUNCTION("""COMPUTED_VALUE"""),"Celkem")</f>
        <v>Celkem</v>
      </c>
      <c r="P1" s="105" t="str">
        <f ca="1">IFERROR(__xludf.DUMMYFUNCTION("""COMPUTED_VALUE"""),"Celkem dvojice")</f>
        <v>Celkem dvojice</v>
      </c>
      <c r="Q1" s="107" t="str">
        <f ca="1">IFERROR(__xludf.DUMMYFUNCTION("""COMPUTED_VALUE"""),"Celkem dvojice")</f>
        <v>Celkem dvojice</v>
      </c>
      <c r="R1" s="108" t="str">
        <f ca="1">IFERROR(__xludf.DUMMYFUNCTION("""COMPUTED_VALUE"""),"Dorážka dvojice")</f>
        <v>Dorážka dvojice</v>
      </c>
      <c r="S1" s="108" t="str">
        <f ca="1">IFERROR(__xludf.DUMMYFUNCTION("""COMPUTED_VALUE"""),"Chyby dvojice")</f>
        <v>Chyby dvojice</v>
      </c>
      <c r="T1" s="109" t="str">
        <f ca="1">IFERROR(__xludf.DUMMYFUNCTION("""COMPUTED_VALUE"""),"")</f>
        <v/>
      </c>
      <c r="U1" s="109" t="str">
        <f ca="1">IFERROR(__xludf.DUMMYFUNCTION("""COMPUTED_VALUE"""),"")</f>
        <v/>
      </c>
      <c r="V1" s="110" t="str">
        <f ca="1">IFERROR(__xludf.DUMMYFUNCTION("""COMPUTED_VALUE"""),"Turné Vysočina")</f>
        <v>Turné Vysočina</v>
      </c>
      <c r="W1" s="111" t="str">
        <f ca="1">IFERROR(__xludf.DUMMYFUNCTION("""COMPUTED_VALUE"""),"")</f>
        <v/>
      </c>
      <c r="X1" s="111" t="str">
        <f ca="1">IFERROR(__xludf.DUMMYFUNCTION("""COMPUTED_VALUE"""),"")</f>
        <v/>
      </c>
      <c r="Y1" s="112" t="str">
        <f ca="1">IFERROR(__xludf.DUMMYFUNCTION("""COMPUTED_VALUE"""),"")</f>
        <v/>
      </c>
      <c r="Z1" s="112" t="str">
        <f ca="1">IFERROR(__xludf.DUMMYFUNCTION("""COMPUTED_VALUE"""),"")</f>
        <v/>
      </c>
      <c r="AA1" s="8" t="str">
        <f ca="1">IFERROR(__xludf.DUMMYFUNCTION("""COMPUTED_VALUE"""),"")</f>
        <v/>
      </c>
    </row>
    <row r="2" spans="1:27" ht="12.75" x14ac:dyDescent="0.2">
      <c r="A2" s="176">
        <v>1</v>
      </c>
      <c r="B2" s="113" t="str">
        <f ca="1">IFERROR(__xludf.DUMMYFUNCTION("""COMPUTED_VALUE"""),"Hlisnikovský Petr")</f>
        <v>Hlisnikovský Petr</v>
      </c>
      <c r="C2" s="114" t="str">
        <f ca="1">IFERROR(__xludf.DUMMYFUNCTION("""COMPUTED_VALUE"""),"Nové Město na Moravě")</f>
        <v>Nové Město na Moravě</v>
      </c>
      <c r="D2" s="115">
        <f ca="1">IFERROR(__xludf.DUMMYFUNCTION("""COMPUTED_VALUE"""),147)</f>
        <v>147</v>
      </c>
      <c r="E2" s="116">
        <f ca="1">IFERROR(__xludf.DUMMYFUNCTION("""COMPUTED_VALUE"""),72)</f>
        <v>72</v>
      </c>
      <c r="F2" s="116">
        <f ca="1">IFERROR(__xludf.DUMMYFUNCTION("""COMPUTED_VALUE"""),2)</f>
        <v>2</v>
      </c>
      <c r="G2" s="117">
        <f ca="1">IFERROR(__xludf.DUMMYFUNCTION("""COMPUTED_VALUE"""),219)</f>
        <v>219</v>
      </c>
      <c r="H2" s="115">
        <f ca="1">IFERROR(__xludf.DUMMYFUNCTION("""COMPUTED_VALUE"""),141)</f>
        <v>141</v>
      </c>
      <c r="I2" s="116">
        <f ca="1">IFERROR(__xludf.DUMMYFUNCTION("""COMPUTED_VALUE"""),79)</f>
        <v>79</v>
      </c>
      <c r="J2" s="116">
        <f ca="1">IFERROR(__xludf.DUMMYFUNCTION("""COMPUTED_VALUE"""),0)</f>
        <v>0</v>
      </c>
      <c r="K2" s="117">
        <f ca="1">IFERROR(__xludf.DUMMYFUNCTION("""COMPUTED_VALUE"""),220)</f>
        <v>220</v>
      </c>
      <c r="L2" s="116">
        <f ca="1">IFERROR(__xludf.DUMMYFUNCTION("""COMPUTED_VALUE"""),288)</f>
        <v>288</v>
      </c>
      <c r="M2" s="116">
        <f ca="1">IFERROR(__xludf.DUMMYFUNCTION("""COMPUTED_VALUE"""),151)</f>
        <v>151</v>
      </c>
      <c r="N2" s="116">
        <f ca="1">IFERROR(__xludf.DUMMYFUNCTION("""COMPUTED_VALUE"""),2)</f>
        <v>2</v>
      </c>
      <c r="O2" s="117">
        <f ca="1">IFERROR(__xludf.DUMMYFUNCTION("""COMPUTED_VALUE"""),439)</f>
        <v>439</v>
      </c>
      <c r="P2" s="116">
        <f ca="1">IFERROR(__xludf.DUMMYFUNCTION("""COMPUTED_VALUE"""),881)</f>
        <v>881</v>
      </c>
      <c r="Q2" s="177">
        <f ca="1">IFERROR(__xludf.DUMMYFUNCTION("""COMPUTED_VALUE"""),881)</f>
        <v>881</v>
      </c>
      <c r="R2" s="178">
        <f ca="1">IFERROR(__xludf.DUMMYFUNCTION("""COMPUTED_VALUE"""),291)</f>
        <v>291</v>
      </c>
      <c r="S2" s="178">
        <f ca="1">IFERROR(__xludf.DUMMYFUNCTION("""COMPUTED_VALUE"""),8)</f>
        <v>8</v>
      </c>
      <c r="T2" s="118">
        <f ca="1">IFERROR(__xludf.DUMMYFUNCTION("""COMPUTED_VALUE"""),291)</f>
        <v>291</v>
      </c>
      <c r="U2" s="118">
        <f ca="1">IFERROR(__xludf.DUMMYFUNCTION("""COMPUTED_VALUE"""),8)</f>
        <v>8</v>
      </c>
      <c r="V2" s="179" t="str">
        <f ca="1">IFERROR(__xludf.DUMMYFUNCTION("""COMPUTED_VALUE"""),"TV")</f>
        <v>TV</v>
      </c>
      <c r="W2" s="119" t="str">
        <f ca="1">IFERROR(__xludf.DUMMYFUNCTION("""COMPUTED_VALUE"""),"TV")</f>
        <v>TV</v>
      </c>
      <c r="X2" s="119" t="str">
        <f ca="1">IFERROR(__xludf.DUMMYFUNCTION("""COMPUTED_VALUE"""),"R")</f>
        <v>R</v>
      </c>
      <c r="Y2" s="119" t="str">
        <f ca="1">IFERROR(__xludf.DUMMYFUNCTION("""COMPUTED_VALUE"""),"R")</f>
        <v>R</v>
      </c>
      <c r="Z2" s="119" t="str">
        <f ca="1">IFERROR(__xludf.DUMMYFUNCTION("""COMPUTED_VALUE"""),"S")</f>
        <v>S</v>
      </c>
      <c r="AA2" s="119" t="str">
        <f ca="1">IFERROR(__xludf.DUMMYFUNCTION("""COMPUTED_VALUE"""),"S")</f>
        <v>S</v>
      </c>
    </row>
    <row r="3" spans="1:27" ht="12.75" x14ac:dyDescent="0.2">
      <c r="A3" s="165"/>
      <c r="B3" s="120" t="str">
        <f ca="1">IFERROR(__xludf.DUMMYFUNCTION("""COMPUTED_VALUE"""),"Partlová Anna")</f>
        <v>Partlová Anna</v>
      </c>
      <c r="C3" s="121" t="str">
        <f ca="1">IFERROR(__xludf.DUMMYFUNCTION("""COMPUTED_VALUE"""),"Nové Město na Moravě")</f>
        <v>Nové Město na Moravě</v>
      </c>
      <c r="D3" s="122">
        <f ca="1">IFERROR(__xludf.DUMMYFUNCTION("""COMPUTED_VALUE"""),141)</f>
        <v>141</v>
      </c>
      <c r="E3" s="123">
        <f ca="1">IFERROR(__xludf.DUMMYFUNCTION("""COMPUTED_VALUE"""),71)</f>
        <v>71</v>
      </c>
      <c r="F3" s="123">
        <f ca="1">IFERROR(__xludf.DUMMYFUNCTION("""COMPUTED_VALUE"""),3)</f>
        <v>3</v>
      </c>
      <c r="G3" s="124">
        <f ca="1">IFERROR(__xludf.DUMMYFUNCTION("""COMPUTED_VALUE"""),212)</f>
        <v>212</v>
      </c>
      <c r="H3" s="122">
        <f ca="1">IFERROR(__xludf.DUMMYFUNCTION("""COMPUTED_VALUE"""),142)</f>
        <v>142</v>
      </c>
      <c r="I3" s="123">
        <f ca="1">IFERROR(__xludf.DUMMYFUNCTION("""COMPUTED_VALUE"""),68)</f>
        <v>68</v>
      </c>
      <c r="J3" s="123">
        <f ca="1">IFERROR(__xludf.DUMMYFUNCTION("""COMPUTED_VALUE"""),1)</f>
        <v>1</v>
      </c>
      <c r="K3" s="124">
        <f ca="1">IFERROR(__xludf.DUMMYFUNCTION("""COMPUTED_VALUE"""),210)</f>
        <v>210</v>
      </c>
      <c r="L3" s="123">
        <f ca="1">IFERROR(__xludf.DUMMYFUNCTION("""COMPUTED_VALUE"""),283)</f>
        <v>283</v>
      </c>
      <c r="M3" s="123">
        <f ca="1">IFERROR(__xludf.DUMMYFUNCTION("""COMPUTED_VALUE"""),139)</f>
        <v>139</v>
      </c>
      <c r="N3" s="123">
        <f ca="1">IFERROR(__xludf.DUMMYFUNCTION("""COMPUTED_VALUE"""),4)</f>
        <v>4</v>
      </c>
      <c r="O3" s="124">
        <f ca="1">IFERROR(__xludf.DUMMYFUNCTION("""COMPUTED_VALUE"""),422)</f>
        <v>422</v>
      </c>
      <c r="P3" s="123">
        <f ca="1">IFERROR(__xludf.DUMMYFUNCTION("""COMPUTED_VALUE"""),866)</f>
        <v>866</v>
      </c>
      <c r="Q3" s="165"/>
      <c r="R3" s="159"/>
      <c r="S3" s="159"/>
      <c r="T3" s="125">
        <f ca="1">IFERROR(__xludf.DUMMYFUNCTION("""COMPUTED_VALUE"""),280)</f>
        <v>280</v>
      </c>
      <c r="U3" s="125">
        <f ca="1">IFERROR(__xludf.DUMMYFUNCTION("""COMPUTED_VALUE"""),6)</f>
        <v>6</v>
      </c>
      <c r="V3" s="159"/>
      <c r="W3" s="126" t="str">
        <f ca="1">IFERROR(__xludf.DUMMYFUNCTION("""COMPUTED_VALUE"""),"Š")</f>
        <v>Š</v>
      </c>
      <c r="X3" s="126" t="str">
        <f ca="1">IFERROR(__xludf.DUMMYFUNCTION("""COMPUTED_VALUE"""),"R")</f>
        <v>R</v>
      </c>
      <c r="Y3" s="126" t="str">
        <f ca="1">IFERROR(__xludf.DUMMYFUNCTION("""COMPUTED_VALUE"""),"R")</f>
        <v>R</v>
      </c>
      <c r="Z3" s="126" t="str">
        <f ca="1">IFERROR(__xludf.DUMMYFUNCTION("""COMPUTED_VALUE"""),"S")</f>
        <v>S</v>
      </c>
      <c r="AA3" s="119" t="str">
        <f ca="1">IFERROR(__xludf.DUMMYFUNCTION("""COMPUTED_VALUE"""),"S")</f>
        <v>S</v>
      </c>
    </row>
    <row r="4" spans="1:27" ht="12.75" x14ac:dyDescent="0.2">
      <c r="A4" s="172">
        <v>2</v>
      </c>
      <c r="B4" s="127" t="str">
        <f ca="1">IFERROR(__xludf.DUMMYFUNCTION("""COMPUTED_VALUE"""),"Vaníčková Michaela")</f>
        <v>Vaníčková Michaela</v>
      </c>
      <c r="C4" s="128" t="str">
        <f ca="1">IFERROR(__xludf.DUMMYFUNCTION("""COMPUTED_VALUE"""),"Nové Město na Moravě")</f>
        <v>Nové Město na Moravě</v>
      </c>
      <c r="D4" s="129">
        <f ca="1">IFERROR(__xludf.DUMMYFUNCTION("""COMPUTED_VALUE"""),136)</f>
        <v>136</v>
      </c>
      <c r="E4" s="130">
        <f ca="1">IFERROR(__xludf.DUMMYFUNCTION("""COMPUTED_VALUE"""),85)</f>
        <v>85</v>
      </c>
      <c r="F4" s="130">
        <f ca="1">IFERROR(__xludf.DUMMYFUNCTION("""COMPUTED_VALUE"""),0)</f>
        <v>0</v>
      </c>
      <c r="G4" s="131">
        <f ca="1">IFERROR(__xludf.DUMMYFUNCTION("""COMPUTED_VALUE"""),221)</f>
        <v>221</v>
      </c>
      <c r="H4" s="129">
        <f ca="1">IFERROR(__xludf.DUMMYFUNCTION("""COMPUTED_VALUE"""),146)</f>
        <v>146</v>
      </c>
      <c r="I4" s="130">
        <f ca="1">IFERROR(__xludf.DUMMYFUNCTION("""COMPUTED_VALUE"""),63)</f>
        <v>63</v>
      </c>
      <c r="J4" s="130">
        <f ca="1">IFERROR(__xludf.DUMMYFUNCTION("""COMPUTED_VALUE"""),2)</f>
        <v>2</v>
      </c>
      <c r="K4" s="131">
        <f ca="1">IFERROR(__xludf.DUMMYFUNCTION("""COMPUTED_VALUE"""),209)</f>
        <v>209</v>
      </c>
      <c r="L4" s="130">
        <f ca="1">IFERROR(__xludf.DUMMYFUNCTION("""COMPUTED_VALUE"""),282)</f>
        <v>282</v>
      </c>
      <c r="M4" s="130">
        <f ca="1">IFERROR(__xludf.DUMMYFUNCTION("""COMPUTED_VALUE"""),148)</f>
        <v>148</v>
      </c>
      <c r="N4" s="130">
        <f ca="1">IFERROR(__xludf.DUMMYFUNCTION("""COMPUTED_VALUE"""),2)</f>
        <v>2</v>
      </c>
      <c r="O4" s="131">
        <f ca="1">IFERROR(__xludf.DUMMYFUNCTION("""COMPUTED_VALUE"""),430)</f>
        <v>430</v>
      </c>
      <c r="P4" s="132">
        <f ca="1">IFERROR(__xludf.DUMMYFUNCTION("""COMPUTED_VALUE"""),856)</f>
        <v>856</v>
      </c>
      <c r="Q4" s="173">
        <f ca="1">IFERROR(__xludf.DUMMYFUNCTION("""COMPUTED_VALUE"""),856)</f>
        <v>856</v>
      </c>
      <c r="R4" s="174">
        <f ca="1">IFERROR(__xludf.DUMMYFUNCTION("""COMPUTED_VALUE"""),269)</f>
        <v>269</v>
      </c>
      <c r="S4" s="174">
        <f ca="1">IFERROR(__xludf.DUMMYFUNCTION("""COMPUTED_VALUE"""),9)</f>
        <v>9</v>
      </c>
      <c r="T4" s="133">
        <f ca="1">IFERROR(__xludf.DUMMYFUNCTION("""COMPUTED_VALUE"""),269)</f>
        <v>269</v>
      </c>
      <c r="U4" s="133">
        <f ca="1">IFERROR(__xludf.DUMMYFUNCTION("""COMPUTED_VALUE"""),9)</f>
        <v>9</v>
      </c>
      <c r="V4" s="175" t="str">
        <f ca="1">IFERROR(__xludf.DUMMYFUNCTION("""COMPUTED_VALUE"""),"Š")</f>
        <v>Š</v>
      </c>
      <c r="W4" s="8" t="str">
        <f ca="1">IFERROR(__xludf.DUMMYFUNCTION("""COMPUTED_VALUE"""),"Š")</f>
        <v>Š</v>
      </c>
      <c r="X4" s="8" t="str">
        <f ca="1">IFERROR(__xludf.DUMMYFUNCTION("""COMPUTED_VALUE"""),"R")</f>
        <v>R</v>
      </c>
      <c r="Y4" s="8" t="str">
        <f ca="1">IFERROR(__xludf.DUMMYFUNCTION("""COMPUTED_VALUE"""),"R")</f>
        <v>R</v>
      </c>
      <c r="Z4" s="8" t="str">
        <f ca="1">IFERROR(__xludf.DUMMYFUNCTION("""COMPUTED_VALUE"""),"S")</f>
        <v>S</v>
      </c>
      <c r="AA4" s="8" t="str">
        <f ca="1">IFERROR(__xludf.DUMMYFUNCTION("""COMPUTED_VALUE"""),"S")</f>
        <v>S</v>
      </c>
    </row>
    <row r="5" spans="1:27" ht="12.75" x14ac:dyDescent="0.2">
      <c r="A5" s="165"/>
      <c r="B5" s="134" t="str">
        <f ca="1">IFERROR(__xludf.DUMMYFUNCTION("""COMPUTED_VALUE"""),"Zemanová Markéta")</f>
        <v>Zemanová Markéta</v>
      </c>
      <c r="C5" s="135" t="str">
        <f ca="1">IFERROR(__xludf.DUMMYFUNCTION("""COMPUTED_VALUE"""),"TJ BOPO Třebíč")</f>
        <v>TJ BOPO Třebíč</v>
      </c>
      <c r="D5" s="136">
        <f ca="1">IFERROR(__xludf.DUMMYFUNCTION("""COMPUTED_VALUE"""),145)</f>
        <v>145</v>
      </c>
      <c r="E5" s="137">
        <f ca="1">IFERROR(__xludf.DUMMYFUNCTION("""COMPUTED_VALUE"""),62)</f>
        <v>62</v>
      </c>
      <c r="F5" s="137">
        <f ca="1">IFERROR(__xludf.DUMMYFUNCTION("""COMPUTED_VALUE"""),2)</f>
        <v>2</v>
      </c>
      <c r="G5" s="138">
        <f ca="1">IFERROR(__xludf.DUMMYFUNCTION("""COMPUTED_VALUE"""),207)</f>
        <v>207</v>
      </c>
      <c r="H5" s="136">
        <f ca="1">IFERROR(__xludf.DUMMYFUNCTION("""COMPUTED_VALUE"""),147)</f>
        <v>147</v>
      </c>
      <c r="I5" s="137">
        <f ca="1">IFERROR(__xludf.DUMMYFUNCTION("""COMPUTED_VALUE"""),62)</f>
        <v>62</v>
      </c>
      <c r="J5" s="137">
        <f ca="1">IFERROR(__xludf.DUMMYFUNCTION("""COMPUTED_VALUE"""),5)</f>
        <v>5</v>
      </c>
      <c r="K5" s="138">
        <f ca="1">IFERROR(__xludf.DUMMYFUNCTION("""COMPUTED_VALUE"""),209)</f>
        <v>209</v>
      </c>
      <c r="L5" s="137">
        <f ca="1">IFERROR(__xludf.DUMMYFUNCTION("""COMPUTED_VALUE"""),292)</f>
        <v>292</v>
      </c>
      <c r="M5" s="137">
        <f ca="1">IFERROR(__xludf.DUMMYFUNCTION("""COMPUTED_VALUE"""),124)</f>
        <v>124</v>
      </c>
      <c r="N5" s="137">
        <f ca="1">IFERROR(__xludf.DUMMYFUNCTION("""COMPUTED_VALUE"""),7)</f>
        <v>7</v>
      </c>
      <c r="O5" s="138">
        <f ca="1">IFERROR(__xludf.DUMMYFUNCTION("""COMPUTED_VALUE"""),416)</f>
        <v>416</v>
      </c>
      <c r="P5" s="139">
        <f ca="1">IFERROR(__xludf.DUMMYFUNCTION("""COMPUTED_VALUE"""),833)</f>
        <v>833</v>
      </c>
      <c r="Q5" s="165"/>
      <c r="R5" s="159"/>
      <c r="S5" s="159"/>
      <c r="T5" s="140">
        <f ca="1">IFERROR(__xludf.DUMMYFUNCTION("""COMPUTED_VALUE"""),244)</f>
        <v>244</v>
      </c>
      <c r="U5" s="140">
        <f ca="1">IFERROR(__xludf.DUMMYFUNCTION("""COMPUTED_VALUE"""),17)</f>
        <v>17</v>
      </c>
      <c r="V5" s="159"/>
      <c r="W5" s="141" t="str">
        <f ca="1">IFERROR(__xludf.DUMMYFUNCTION("""COMPUTED_VALUE"""),"TV")</f>
        <v>TV</v>
      </c>
      <c r="X5" s="141" t="str">
        <f ca="1">IFERROR(__xludf.DUMMYFUNCTION("""COMPUTED_VALUE"""),"R")</f>
        <v>R</v>
      </c>
      <c r="Y5" s="141" t="str">
        <f ca="1">IFERROR(__xludf.DUMMYFUNCTION("""COMPUTED_VALUE"""),"R")</f>
        <v>R</v>
      </c>
      <c r="Z5" s="141" t="str">
        <f ca="1">IFERROR(__xludf.DUMMYFUNCTION("""COMPUTED_VALUE"""),"S")</f>
        <v>S</v>
      </c>
      <c r="AA5" s="8" t="str">
        <f ca="1">IFERROR(__xludf.DUMMYFUNCTION("""COMPUTED_VALUE"""),"S")</f>
        <v>S</v>
      </c>
    </row>
    <row r="6" spans="1:27" ht="12.75" x14ac:dyDescent="0.2">
      <c r="A6" s="172">
        <v>3</v>
      </c>
      <c r="B6" s="127" t="str">
        <f ca="1">IFERROR(__xludf.DUMMYFUNCTION("""COMPUTED_VALUE"""),"Hrstka Aleš")</f>
        <v>Hrstka Aleš</v>
      </c>
      <c r="C6" s="128" t="str">
        <f ca="1">IFERROR(__xludf.DUMMYFUNCTION("""COMPUTED_VALUE"""),"Nové Město na Moravě")</f>
        <v>Nové Město na Moravě</v>
      </c>
      <c r="D6" s="129">
        <f ca="1">IFERROR(__xludf.DUMMYFUNCTION("""COMPUTED_VALUE"""),133)</f>
        <v>133</v>
      </c>
      <c r="E6" s="130">
        <f ca="1">IFERROR(__xludf.DUMMYFUNCTION("""COMPUTED_VALUE"""),80)</f>
        <v>80</v>
      </c>
      <c r="F6" s="130">
        <f ca="1">IFERROR(__xludf.DUMMYFUNCTION("""COMPUTED_VALUE"""),2)</f>
        <v>2</v>
      </c>
      <c r="G6" s="131">
        <f ca="1">IFERROR(__xludf.DUMMYFUNCTION("""COMPUTED_VALUE"""),213)</f>
        <v>213</v>
      </c>
      <c r="H6" s="129">
        <f ca="1">IFERROR(__xludf.DUMMYFUNCTION("""COMPUTED_VALUE"""),128)</f>
        <v>128</v>
      </c>
      <c r="I6" s="130">
        <f ca="1">IFERROR(__xludf.DUMMYFUNCTION("""COMPUTED_VALUE"""),58)</f>
        <v>58</v>
      </c>
      <c r="J6" s="130">
        <f ca="1">IFERROR(__xludf.DUMMYFUNCTION("""COMPUTED_VALUE"""),6)</f>
        <v>6</v>
      </c>
      <c r="K6" s="131">
        <f ca="1">IFERROR(__xludf.DUMMYFUNCTION("""COMPUTED_VALUE"""),186)</f>
        <v>186</v>
      </c>
      <c r="L6" s="130">
        <f ca="1">IFERROR(__xludf.DUMMYFUNCTION("""COMPUTED_VALUE"""),261)</f>
        <v>261</v>
      </c>
      <c r="M6" s="130">
        <f ca="1">IFERROR(__xludf.DUMMYFUNCTION("""COMPUTED_VALUE"""),138)</f>
        <v>138</v>
      </c>
      <c r="N6" s="130">
        <f ca="1">IFERROR(__xludf.DUMMYFUNCTION("""COMPUTED_VALUE"""),8)</f>
        <v>8</v>
      </c>
      <c r="O6" s="131">
        <f ca="1">IFERROR(__xludf.DUMMYFUNCTION("""COMPUTED_VALUE"""),399)</f>
        <v>399</v>
      </c>
      <c r="P6" s="132">
        <f ca="1">IFERROR(__xludf.DUMMYFUNCTION("""COMPUTED_VALUE"""),798)</f>
        <v>798</v>
      </c>
      <c r="Q6" s="173">
        <f ca="1">IFERROR(__xludf.DUMMYFUNCTION("""COMPUTED_VALUE"""),798)</f>
        <v>798</v>
      </c>
      <c r="R6" s="174">
        <f ca="1">IFERROR(__xludf.DUMMYFUNCTION("""COMPUTED_VALUE"""),259)</f>
        <v>259</v>
      </c>
      <c r="S6" s="174">
        <f ca="1">IFERROR(__xludf.DUMMYFUNCTION("""COMPUTED_VALUE"""),14)</f>
        <v>14</v>
      </c>
      <c r="T6" s="133">
        <f ca="1">IFERROR(__xludf.DUMMYFUNCTION("""COMPUTED_VALUE"""),259)</f>
        <v>259</v>
      </c>
      <c r="U6" s="133">
        <f ca="1">IFERROR(__xludf.DUMMYFUNCTION("""COMPUTED_VALUE"""),14)</f>
        <v>14</v>
      </c>
      <c r="V6" s="175" t="str">
        <f ca="1">IFERROR(__xludf.DUMMYFUNCTION("""COMPUTED_VALUE"""),"Š")</f>
        <v>Š</v>
      </c>
      <c r="W6" s="8" t="str">
        <f ca="1">IFERROR(__xludf.DUMMYFUNCTION("""COMPUTED_VALUE"""),"Š")</f>
        <v>Š</v>
      </c>
      <c r="X6" s="8" t="str">
        <f ca="1">IFERROR(__xludf.DUMMYFUNCTION("""COMPUTED_VALUE"""),"R")</f>
        <v>R</v>
      </c>
      <c r="Y6" s="8" t="str">
        <f ca="1">IFERROR(__xludf.DUMMYFUNCTION("""COMPUTED_VALUE"""),"R")</f>
        <v>R</v>
      </c>
      <c r="Z6" s="8" t="str">
        <f ca="1">IFERROR(__xludf.DUMMYFUNCTION("""COMPUTED_VALUE"""),"S")</f>
        <v>S</v>
      </c>
      <c r="AA6" s="8" t="str">
        <f ca="1">IFERROR(__xludf.DUMMYFUNCTION("""COMPUTED_VALUE"""),"S")</f>
        <v>S</v>
      </c>
    </row>
    <row r="7" spans="1:27" ht="12.75" x14ac:dyDescent="0.2">
      <c r="A7" s="165"/>
      <c r="B7" s="134" t="str">
        <f ca="1">IFERROR(__xludf.DUMMYFUNCTION("""COMPUTED_VALUE"""),"Vytisková Zdenka")</f>
        <v>Vytisková Zdenka</v>
      </c>
      <c r="C7" s="135" t="str">
        <f ca="1">IFERROR(__xludf.DUMMYFUNCTION("""COMPUTED_VALUE"""),"TJ Spartak Pelhrimov")</f>
        <v>TJ Spartak Pelhrimov</v>
      </c>
      <c r="D7" s="136">
        <f ca="1">IFERROR(__xludf.DUMMYFUNCTION("""COMPUTED_VALUE"""),127)</f>
        <v>127</v>
      </c>
      <c r="E7" s="137">
        <f ca="1">IFERROR(__xludf.DUMMYFUNCTION("""COMPUTED_VALUE"""),31)</f>
        <v>31</v>
      </c>
      <c r="F7" s="137">
        <f ca="1">IFERROR(__xludf.DUMMYFUNCTION("""COMPUTED_VALUE"""),11)</f>
        <v>11</v>
      </c>
      <c r="G7" s="138">
        <f ca="1">IFERROR(__xludf.DUMMYFUNCTION("""COMPUTED_VALUE"""),158)</f>
        <v>158</v>
      </c>
      <c r="H7" s="136">
        <f ca="1">IFERROR(__xludf.DUMMYFUNCTION("""COMPUTED_VALUE"""),124)</f>
        <v>124</v>
      </c>
      <c r="I7" s="137">
        <f ca="1">IFERROR(__xludf.DUMMYFUNCTION("""COMPUTED_VALUE"""),43)</f>
        <v>43</v>
      </c>
      <c r="J7" s="137">
        <f ca="1">IFERROR(__xludf.DUMMYFUNCTION("""COMPUTED_VALUE"""),8)</f>
        <v>8</v>
      </c>
      <c r="K7" s="138">
        <f ca="1">IFERROR(__xludf.DUMMYFUNCTION("""COMPUTED_VALUE"""),167)</f>
        <v>167</v>
      </c>
      <c r="L7" s="137">
        <f ca="1">IFERROR(__xludf.DUMMYFUNCTION("""COMPUTED_VALUE"""),251)</f>
        <v>251</v>
      </c>
      <c r="M7" s="137">
        <f ca="1">IFERROR(__xludf.DUMMYFUNCTION("""COMPUTED_VALUE"""),74)</f>
        <v>74</v>
      </c>
      <c r="N7" s="137">
        <f ca="1">IFERROR(__xludf.DUMMYFUNCTION("""COMPUTED_VALUE"""),19)</f>
        <v>19</v>
      </c>
      <c r="O7" s="138">
        <f ca="1">IFERROR(__xludf.DUMMYFUNCTION("""COMPUTED_VALUE"""),325)</f>
        <v>325</v>
      </c>
      <c r="P7" s="139">
        <f ca="1">IFERROR(__xludf.DUMMYFUNCTION("""COMPUTED_VALUE"""),757)</f>
        <v>757</v>
      </c>
      <c r="Q7" s="165"/>
      <c r="R7" s="159"/>
      <c r="S7" s="159"/>
      <c r="T7" s="140">
        <f ca="1">IFERROR(__xludf.DUMMYFUNCTION("""COMPUTED_VALUE"""),200)</f>
        <v>200</v>
      </c>
      <c r="U7" s="140">
        <f ca="1">IFERROR(__xludf.DUMMYFUNCTION("""COMPUTED_VALUE"""),20)</f>
        <v>20</v>
      </c>
      <c r="V7" s="159"/>
      <c r="W7" s="141" t="str">
        <f ca="1">IFERROR(__xludf.DUMMYFUNCTION("""COMPUTED_VALUE"""),"TV")</f>
        <v>TV</v>
      </c>
      <c r="X7" s="141" t="str">
        <f ca="1">IFERROR(__xludf.DUMMYFUNCTION("""COMPUTED_VALUE"""),"R")</f>
        <v>R</v>
      </c>
      <c r="Y7" s="141" t="str">
        <f ca="1">IFERROR(__xludf.DUMMYFUNCTION("""COMPUTED_VALUE"""),"R")</f>
        <v>R</v>
      </c>
      <c r="Z7" s="141" t="str">
        <f ca="1">IFERROR(__xludf.DUMMYFUNCTION("""COMPUTED_VALUE"""),"S")</f>
        <v>S</v>
      </c>
      <c r="AA7" s="8" t="str">
        <f ca="1">IFERROR(__xludf.DUMMYFUNCTION("""COMPUTED_VALUE"""),"S")</f>
        <v>S</v>
      </c>
    </row>
    <row r="8" spans="1:27" ht="12.75" x14ac:dyDescent="0.2">
      <c r="A8" s="172">
        <v>4</v>
      </c>
      <c r="B8" s="127" t="str">
        <f ca="1">IFERROR(__xludf.DUMMYFUNCTION("""COMPUTED_VALUE"""),"Sáblíková Lenka")</f>
        <v>Sáblíková Lenka</v>
      </c>
      <c r="C8" s="128" t="str">
        <f ca="1">IFERROR(__xludf.DUMMYFUNCTION("""COMPUTED_VALUE"""),"Nové Město na Moravě")</f>
        <v>Nové Město na Moravě</v>
      </c>
      <c r="D8" s="129">
        <f ca="1">IFERROR(__xludf.DUMMYFUNCTION("""COMPUTED_VALUE"""),113)</f>
        <v>113</v>
      </c>
      <c r="E8" s="130">
        <f ca="1">IFERROR(__xludf.DUMMYFUNCTION("""COMPUTED_VALUE"""),35)</f>
        <v>35</v>
      </c>
      <c r="F8" s="130">
        <f ca="1">IFERROR(__xludf.DUMMYFUNCTION("""COMPUTED_VALUE"""),15)</f>
        <v>15</v>
      </c>
      <c r="G8" s="131">
        <f ca="1">IFERROR(__xludf.DUMMYFUNCTION("""COMPUTED_VALUE"""),148)</f>
        <v>148</v>
      </c>
      <c r="H8" s="129">
        <f ca="1">IFERROR(__xludf.DUMMYFUNCTION("""COMPUTED_VALUE"""),114)</f>
        <v>114</v>
      </c>
      <c r="I8" s="130">
        <f ca="1">IFERROR(__xludf.DUMMYFUNCTION("""COMPUTED_VALUE"""),44)</f>
        <v>44</v>
      </c>
      <c r="J8" s="130">
        <f ca="1">IFERROR(__xludf.DUMMYFUNCTION("""COMPUTED_VALUE"""),11)</f>
        <v>11</v>
      </c>
      <c r="K8" s="131">
        <f ca="1">IFERROR(__xludf.DUMMYFUNCTION("""COMPUTED_VALUE"""),158)</f>
        <v>158</v>
      </c>
      <c r="L8" s="130">
        <f ca="1">IFERROR(__xludf.DUMMYFUNCTION("""COMPUTED_VALUE"""),227)</f>
        <v>227</v>
      </c>
      <c r="M8" s="130">
        <f ca="1">IFERROR(__xludf.DUMMYFUNCTION("""COMPUTED_VALUE"""),79)</f>
        <v>79</v>
      </c>
      <c r="N8" s="130">
        <f ca="1">IFERROR(__xludf.DUMMYFUNCTION("""COMPUTED_VALUE"""),26)</f>
        <v>26</v>
      </c>
      <c r="O8" s="131">
        <f ca="1">IFERROR(__xludf.DUMMYFUNCTION("""COMPUTED_VALUE"""),306)</f>
        <v>306</v>
      </c>
      <c r="P8" s="132">
        <f ca="1">IFERROR(__xludf.DUMMYFUNCTION("""COMPUTED_VALUE"""),720)</f>
        <v>720</v>
      </c>
      <c r="Q8" s="173">
        <f ca="1">IFERROR(__xludf.DUMMYFUNCTION("""COMPUTED_VALUE"""),720)</f>
        <v>720</v>
      </c>
      <c r="R8" s="174">
        <f ca="1">IFERROR(__xludf.DUMMYFUNCTION("""COMPUTED_VALUE"""),202)</f>
        <v>202</v>
      </c>
      <c r="S8" s="174">
        <f ca="1">IFERROR(__xludf.DUMMYFUNCTION("""COMPUTED_VALUE"""),30)</f>
        <v>30</v>
      </c>
      <c r="T8" s="133">
        <f ca="1">IFERROR(__xludf.DUMMYFUNCTION("""COMPUTED_VALUE"""),202)</f>
        <v>202</v>
      </c>
      <c r="U8" s="133">
        <f ca="1">IFERROR(__xludf.DUMMYFUNCTION("""COMPUTED_VALUE"""),30)</f>
        <v>30</v>
      </c>
      <c r="V8" s="175" t="str">
        <f ca="1">IFERROR(__xludf.DUMMYFUNCTION("""COMPUTED_VALUE"""),"Š")</f>
        <v>Š</v>
      </c>
      <c r="W8" s="8" t="str">
        <f ca="1">IFERROR(__xludf.DUMMYFUNCTION("""COMPUTED_VALUE"""),"Š")</f>
        <v>Š</v>
      </c>
      <c r="X8" s="8" t="str">
        <f ca="1">IFERROR(__xludf.DUMMYFUNCTION("""COMPUTED_VALUE"""),"R")</f>
        <v>R</v>
      </c>
      <c r="Y8" s="8" t="str">
        <f ca="1">IFERROR(__xludf.DUMMYFUNCTION("""COMPUTED_VALUE"""),"R")</f>
        <v>R</v>
      </c>
      <c r="Z8" s="8" t="str">
        <f ca="1">IFERROR(__xludf.DUMMYFUNCTION("""COMPUTED_VALUE"""),"S")</f>
        <v>S</v>
      </c>
      <c r="AA8" s="8" t="str">
        <f ca="1">IFERROR(__xludf.DUMMYFUNCTION("""COMPUTED_VALUE"""),"S")</f>
        <v>S</v>
      </c>
    </row>
    <row r="9" spans="1:27" ht="12.75" x14ac:dyDescent="0.2">
      <c r="A9" s="165"/>
      <c r="B9" s="134" t="str">
        <f ca="1">IFERROR(__xludf.DUMMYFUNCTION("""COMPUTED_VALUE"""),"Stloukal Miloš")</f>
        <v>Stloukal Miloš</v>
      </c>
      <c r="C9" s="135" t="str">
        <f ca="1">IFERROR(__xludf.DUMMYFUNCTION("""COMPUTED_VALUE"""),"Rozsochy nádraží")</f>
        <v>Rozsochy nádraží</v>
      </c>
      <c r="D9" s="136">
        <f ca="1">IFERROR(__xludf.DUMMYFUNCTION("""COMPUTED_VALUE"""),132)</f>
        <v>132</v>
      </c>
      <c r="E9" s="137">
        <f ca="1">IFERROR(__xludf.DUMMYFUNCTION("""COMPUTED_VALUE"""),71)</f>
        <v>71</v>
      </c>
      <c r="F9" s="137">
        <f ca="1">IFERROR(__xludf.DUMMYFUNCTION("""COMPUTED_VALUE"""),2)</f>
        <v>2</v>
      </c>
      <c r="G9" s="138">
        <f ca="1">IFERROR(__xludf.DUMMYFUNCTION("""COMPUTED_VALUE"""),203)</f>
        <v>203</v>
      </c>
      <c r="H9" s="136">
        <f ca="1">IFERROR(__xludf.DUMMYFUNCTION("""COMPUTED_VALUE"""),144)</f>
        <v>144</v>
      </c>
      <c r="I9" s="137">
        <f ca="1">IFERROR(__xludf.DUMMYFUNCTION("""COMPUTED_VALUE"""),66)</f>
        <v>66</v>
      </c>
      <c r="J9" s="137">
        <f ca="1">IFERROR(__xludf.DUMMYFUNCTION("""COMPUTED_VALUE"""),4)</f>
        <v>4</v>
      </c>
      <c r="K9" s="138">
        <f ca="1">IFERROR(__xludf.DUMMYFUNCTION("""COMPUTED_VALUE"""),210)</f>
        <v>210</v>
      </c>
      <c r="L9" s="137">
        <f ca="1">IFERROR(__xludf.DUMMYFUNCTION("""COMPUTED_VALUE"""),276)</f>
        <v>276</v>
      </c>
      <c r="M9" s="137">
        <f ca="1">IFERROR(__xludf.DUMMYFUNCTION("""COMPUTED_VALUE"""),137)</f>
        <v>137</v>
      </c>
      <c r="N9" s="137">
        <f ca="1">IFERROR(__xludf.DUMMYFUNCTION("""COMPUTED_VALUE"""),6)</f>
        <v>6</v>
      </c>
      <c r="O9" s="138">
        <f ca="1">IFERROR(__xludf.DUMMYFUNCTION("""COMPUTED_VALUE"""),413)</f>
        <v>413</v>
      </c>
      <c r="P9" s="139">
        <f ca="1">IFERROR(__xludf.DUMMYFUNCTION("""COMPUTED_VALUE"""),703)</f>
        <v>703</v>
      </c>
      <c r="Q9" s="165"/>
      <c r="R9" s="159"/>
      <c r="S9" s="159"/>
      <c r="T9" s="140">
        <f ca="1">IFERROR(__xludf.DUMMYFUNCTION("""COMPUTED_VALUE"""),212)</f>
        <v>212</v>
      </c>
      <c r="U9" s="140">
        <f ca="1">IFERROR(__xludf.DUMMYFUNCTION("""COMPUTED_VALUE"""),37)</f>
        <v>37</v>
      </c>
      <c r="V9" s="159"/>
      <c r="W9" s="141" t="str">
        <f ca="1">IFERROR(__xludf.DUMMYFUNCTION("""COMPUTED_VALUE"""),"Š")</f>
        <v>Š</v>
      </c>
      <c r="X9" s="141" t="str">
        <f ca="1">IFERROR(__xludf.DUMMYFUNCTION("""COMPUTED_VALUE"""),"R")</f>
        <v>R</v>
      </c>
      <c r="Y9" s="141" t="str">
        <f ca="1">IFERROR(__xludf.DUMMYFUNCTION("""COMPUTED_VALUE"""),"R")</f>
        <v>R</v>
      </c>
      <c r="Z9" s="141" t="str">
        <f ca="1">IFERROR(__xludf.DUMMYFUNCTION("""COMPUTED_VALUE"""),"S")</f>
        <v>S</v>
      </c>
      <c r="AA9" s="8" t="str">
        <f ca="1">IFERROR(__xludf.DUMMYFUNCTION("""COMPUTED_VALUE"""),"S")</f>
        <v>S</v>
      </c>
    </row>
    <row r="10" spans="1:27" ht="12.75" x14ac:dyDescent="0.2">
      <c r="A10" s="172">
        <v>5</v>
      </c>
      <c r="B10" s="127"/>
      <c r="C10" s="128"/>
      <c r="D10" s="129"/>
      <c r="E10" s="130"/>
      <c r="F10" s="130"/>
      <c r="G10" s="131"/>
      <c r="H10" s="129"/>
      <c r="I10" s="130"/>
      <c r="J10" s="130"/>
      <c r="K10" s="131"/>
      <c r="L10" s="130"/>
      <c r="M10" s="130"/>
      <c r="N10" s="130"/>
      <c r="O10" s="131"/>
      <c r="P10" s="132"/>
      <c r="Q10" s="173"/>
      <c r="R10" s="174"/>
      <c r="S10" s="174"/>
      <c r="T10" s="133"/>
      <c r="U10" s="133"/>
      <c r="V10" s="175"/>
    </row>
    <row r="11" spans="1:27" ht="12.75" x14ac:dyDescent="0.2">
      <c r="A11" s="165"/>
      <c r="B11" s="134"/>
      <c r="C11" s="135"/>
      <c r="D11" s="136"/>
      <c r="E11" s="137"/>
      <c r="F11" s="137"/>
      <c r="G11" s="138"/>
      <c r="H11" s="136"/>
      <c r="I11" s="137"/>
      <c r="J11" s="137"/>
      <c r="K11" s="138"/>
      <c r="L11" s="137"/>
      <c r="M11" s="137"/>
      <c r="N11" s="137"/>
      <c r="O11" s="138"/>
      <c r="P11" s="139"/>
      <c r="Q11" s="165"/>
      <c r="R11" s="159"/>
      <c r="S11" s="159"/>
      <c r="T11" s="140"/>
      <c r="U11" s="140"/>
      <c r="V11" s="159"/>
      <c r="W11" s="141"/>
      <c r="X11" s="141"/>
      <c r="Y11" s="141"/>
      <c r="Z11" s="141"/>
    </row>
    <row r="12" spans="1:27" ht="12.75" x14ac:dyDescent="0.2">
      <c r="A12" s="172">
        <v>6</v>
      </c>
      <c r="B12" s="127"/>
      <c r="C12" s="128"/>
      <c r="D12" s="129"/>
      <c r="E12" s="130"/>
      <c r="F12" s="130"/>
      <c r="G12" s="131"/>
      <c r="H12" s="129"/>
      <c r="I12" s="130"/>
      <c r="J12" s="130"/>
      <c r="K12" s="131"/>
      <c r="L12" s="130"/>
      <c r="M12" s="130"/>
      <c r="N12" s="130"/>
      <c r="O12" s="131"/>
      <c r="P12" s="132"/>
      <c r="Q12" s="173"/>
      <c r="R12" s="174"/>
      <c r="S12" s="174"/>
      <c r="T12" s="133"/>
      <c r="U12" s="133"/>
      <c r="V12" s="175"/>
    </row>
    <row r="13" spans="1:27" ht="12.75" x14ac:dyDescent="0.2">
      <c r="A13" s="165"/>
      <c r="B13" s="134"/>
      <c r="C13" s="135"/>
      <c r="D13" s="136"/>
      <c r="E13" s="137"/>
      <c r="F13" s="137"/>
      <c r="G13" s="138"/>
      <c r="H13" s="136"/>
      <c r="I13" s="137"/>
      <c r="J13" s="137"/>
      <c r="K13" s="138"/>
      <c r="L13" s="137"/>
      <c r="M13" s="137"/>
      <c r="N13" s="137"/>
      <c r="O13" s="138"/>
      <c r="P13" s="139"/>
      <c r="Q13" s="165"/>
      <c r="R13" s="159"/>
      <c r="S13" s="159"/>
      <c r="T13" s="140"/>
      <c r="U13" s="140"/>
      <c r="V13" s="159"/>
      <c r="W13" s="141"/>
      <c r="X13" s="141"/>
      <c r="Y13" s="141"/>
      <c r="Z13" s="141"/>
    </row>
    <row r="14" spans="1:27" ht="12.75" x14ac:dyDescent="0.2">
      <c r="A14" s="172">
        <v>7</v>
      </c>
      <c r="B14" s="127"/>
      <c r="C14" s="128"/>
      <c r="D14" s="129"/>
      <c r="E14" s="130"/>
      <c r="F14" s="130"/>
      <c r="G14" s="131"/>
      <c r="H14" s="129"/>
      <c r="I14" s="130"/>
      <c r="J14" s="130"/>
      <c r="K14" s="131"/>
      <c r="L14" s="130"/>
      <c r="M14" s="130"/>
      <c r="N14" s="130"/>
      <c r="O14" s="131"/>
      <c r="P14" s="132"/>
      <c r="Q14" s="173"/>
      <c r="R14" s="174"/>
      <c r="S14" s="174"/>
      <c r="T14" s="133"/>
      <c r="U14" s="133"/>
      <c r="V14" s="175"/>
    </row>
    <row r="15" spans="1:27" ht="12.75" x14ac:dyDescent="0.2">
      <c r="A15" s="165"/>
      <c r="B15" s="134"/>
      <c r="C15" s="135"/>
      <c r="D15" s="136"/>
      <c r="E15" s="137"/>
      <c r="F15" s="137"/>
      <c r="G15" s="138"/>
      <c r="H15" s="136"/>
      <c r="I15" s="137"/>
      <c r="J15" s="137"/>
      <c r="K15" s="138"/>
      <c r="L15" s="137"/>
      <c r="M15" s="137"/>
      <c r="N15" s="137"/>
      <c r="O15" s="138"/>
      <c r="P15" s="139"/>
      <c r="Q15" s="165"/>
      <c r="R15" s="159"/>
      <c r="S15" s="159"/>
      <c r="T15" s="140"/>
      <c r="U15" s="140"/>
      <c r="V15" s="159"/>
      <c r="W15" s="141"/>
      <c r="X15" s="141"/>
      <c r="Y15" s="141"/>
      <c r="Z15" s="141"/>
    </row>
    <row r="16" spans="1:27" ht="12.75" x14ac:dyDescent="0.2">
      <c r="A16" s="172">
        <v>8</v>
      </c>
      <c r="B16" s="127"/>
      <c r="C16" s="128"/>
      <c r="D16" s="129"/>
      <c r="E16" s="130"/>
      <c r="F16" s="130"/>
      <c r="G16" s="131"/>
      <c r="H16" s="129"/>
      <c r="I16" s="130"/>
      <c r="J16" s="130"/>
      <c r="K16" s="131"/>
      <c r="L16" s="130"/>
      <c r="M16" s="130"/>
      <c r="N16" s="130"/>
      <c r="O16" s="131"/>
      <c r="P16" s="132"/>
      <c r="Q16" s="173"/>
      <c r="R16" s="174"/>
      <c r="S16" s="174"/>
      <c r="T16" s="133"/>
      <c r="U16" s="133"/>
      <c r="V16" s="175"/>
    </row>
    <row r="17" spans="1:26" ht="12.75" x14ac:dyDescent="0.2">
      <c r="A17" s="165"/>
      <c r="B17" s="134"/>
      <c r="C17" s="135"/>
      <c r="D17" s="136"/>
      <c r="E17" s="137"/>
      <c r="F17" s="137"/>
      <c r="G17" s="138"/>
      <c r="H17" s="136"/>
      <c r="I17" s="137"/>
      <c r="J17" s="137"/>
      <c r="K17" s="138"/>
      <c r="L17" s="137"/>
      <c r="M17" s="137"/>
      <c r="N17" s="137"/>
      <c r="O17" s="138"/>
      <c r="P17" s="139"/>
      <c r="Q17" s="165"/>
      <c r="R17" s="159"/>
      <c r="S17" s="159"/>
      <c r="T17" s="140"/>
      <c r="U17" s="140"/>
      <c r="V17" s="159"/>
      <c r="W17" s="141"/>
      <c r="X17" s="141"/>
      <c r="Y17" s="141"/>
      <c r="Z17" s="141"/>
    </row>
    <row r="18" spans="1:26" ht="12.75" x14ac:dyDescent="0.2">
      <c r="A18" s="172">
        <v>9</v>
      </c>
      <c r="B18" s="127"/>
      <c r="C18" s="128"/>
      <c r="D18" s="129"/>
      <c r="E18" s="130"/>
      <c r="F18" s="130"/>
      <c r="G18" s="131"/>
      <c r="H18" s="129"/>
      <c r="I18" s="130"/>
      <c r="J18" s="130"/>
      <c r="K18" s="131"/>
      <c r="L18" s="130"/>
      <c r="M18" s="130"/>
      <c r="N18" s="130"/>
      <c r="O18" s="131"/>
      <c r="P18" s="132"/>
      <c r="Q18" s="173"/>
      <c r="R18" s="174"/>
      <c r="S18" s="174"/>
      <c r="T18" s="133"/>
      <c r="U18" s="133"/>
      <c r="V18" s="175"/>
    </row>
    <row r="19" spans="1:26" ht="12.75" x14ac:dyDescent="0.2">
      <c r="A19" s="165"/>
      <c r="B19" s="134"/>
      <c r="C19" s="135"/>
      <c r="D19" s="136"/>
      <c r="E19" s="137"/>
      <c r="F19" s="137"/>
      <c r="G19" s="138"/>
      <c r="H19" s="136"/>
      <c r="I19" s="137"/>
      <c r="J19" s="137"/>
      <c r="K19" s="138"/>
      <c r="L19" s="137"/>
      <c r="M19" s="137"/>
      <c r="N19" s="137"/>
      <c r="O19" s="138"/>
      <c r="P19" s="139"/>
      <c r="Q19" s="165"/>
      <c r="R19" s="159"/>
      <c r="S19" s="159"/>
      <c r="T19" s="140"/>
      <c r="U19" s="140"/>
      <c r="V19" s="159"/>
      <c r="W19" s="141"/>
      <c r="X19" s="141"/>
      <c r="Y19" s="141"/>
      <c r="Z19" s="141"/>
    </row>
    <row r="20" spans="1:26" ht="12.75" x14ac:dyDescent="0.2">
      <c r="A20" s="172">
        <v>10</v>
      </c>
      <c r="B20" s="127"/>
      <c r="C20" s="128"/>
      <c r="D20" s="129"/>
      <c r="E20" s="130"/>
      <c r="F20" s="130"/>
      <c r="G20" s="131"/>
      <c r="H20" s="129"/>
      <c r="I20" s="130"/>
      <c r="J20" s="130"/>
      <c r="K20" s="131"/>
      <c r="L20" s="130"/>
      <c r="M20" s="130"/>
      <c r="N20" s="130"/>
      <c r="O20" s="131"/>
      <c r="P20" s="132"/>
      <c r="Q20" s="173"/>
      <c r="R20" s="174"/>
      <c r="S20" s="174"/>
      <c r="T20" s="133"/>
      <c r="U20" s="133"/>
      <c r="V20" s="175"/>
    </row>
    <row r="21" spans="1:26" ht="12.75" x14ac:dyDescent="0.2">
      <c r="A21" s="165"/>
      <c r="B21" s="134"/>
      <c r="C21" s="135"/>
      <c r="D21" s="136"/>
      <c r="E21" s="137"/>
      <c r="F21" s="137"/>
      <c r="G21" s="138"/>
      <c r="H21" s="136"/>
      <c r="I21" s="137"/>
      <c r="J21" s="137"/>
      <c r="K21" s="138"/>
      <c r="L21" s="137"/>
      <c r="M21" s="137"/>
      <c r="N21" s="137"/>
      <c r="O21" s="138"/>
      <c r="P21" s="139"/>
      <c r="Q21" s="165"/>
      <c r="R21" s="159"/>
      <c r="S21" s="159"/>
      <c r="T21" s="140"/>
      <c r="U21" s="140"/>
      <c r="V21" s="159"/>
      <c r="W21" s="141"/>
      <c r="X21" s="141"/>
      <c r="Y21" s="141"/>
      <c r="Z21" s="141"/>
    </row>
    <row r="22" spans="1:26" ht="12.75" x14ac:dyDescent="0.2">
      <c r="A22" s="172">
        <v>11</v>
      </c>
      <c r="B22" s="127"/>
      <c r="C22" s="128"/>
      <c r="D22" s="129"/>
      <c r="E22" s="130"/>
      <c r="F22" s="130"/>
      <c r="G22" s="131"/>
      <c r="H22" s="129"/>
      <c r="I22" s="130"/>
      <c r="J22" s="130"/>
      <c r="K22" s="131"/>
      <c r="L22" s="130"/>
      <c r="M22" s="130"/>
      <c r="N22" s="130"/>
      <c r="O22" s="131"/>
      <c r="P22" s="132"/>
      <c r="Q22" s="173"/>
      <c r="R22" s="174"/>
      <c r="S22" s="174"/>
      <c r="T22" s="133"/>
      <c r="U22" s="133"/>
      <c r="V22" s="175"/>
    </row>
    <row r="23" spans="1:26" ht="12.75" x14ac:dyDescent="0.2">
      <c r="A23" s="165"/>
      <c r="B23" s="134"/>
      <c r="C23" s="135"/>
      <c r="D23" s="136"/>
      <c r="E23" s="137"/>
      <c r="F23" s="137"/>
      <c r="G23" s="138"/>
      <c r="H23" s="136"/>
      <c r="I23" s="137"/>
      <c r="J23" s="137"/>
      <c r="K23" s="138"/>
      <c r="L23" s="137"/>
      <c r="M23" s="137"/>
      <c r="N23" s="137"/>
      <c r="O23" s="138"/>
      <c r="P23" s="139"/>
      <c r="Q23" s="165"/>
      <c r="R23" s="159"/>
      <c r="S23" s="159"/>
      <c r="T23" s="140"/>
      <c r="U23" s="140"/>
      <c r="V23" s="159"/>
      <c r="W23" s="141"/>
      <c r="X23" s="141"/>
      <c r="Y23" s="141"/>
      <c r="Z23" s="141"/>
    </row>
    <row r="24" spans="1:26" ht="12.75" x14ac:dyDescent="0.2">
      <c r="A24" s="172">
        <v>12</v>
      </c>
      <c r="B24" s="127"/>
      <c r="C24" s="128"/>
      <c r="D24" s="129"/>
      <c r="E24" s="130"/>
      <c r="F24" s="130"/>
      <c r="G24" s="131"/>
      <c r="H24" s="129"/>
      <c r="I24" s="130"/>
      <c r="J24" s="130"/>
      <c r="K24" s="131"/>
      <c r="L24" s="130"/>
      <c r="M24" s="130"/>
      <c r="N24" s="130"/>
      <c r="O24" s="131"/>
      <c r="P24" s="132"/>
      <c r="Q24" s="173"/>
      <c r="R24" s="174"/>
      <c r="S24" s="174"/>
      <c r="T24" s="133"/>
      <c r="U24" s="133"/>
      <c r="V24" s="175"/>
    </row>
    <row r="25" spans="1:26" ht="12.75" x14ac:dyDescent="0.2">
      <c r="A25" s="165"/>
      <c r="B25" s="134"/>
      <c r="C25" s="135"/>
      <c r="D25" s="136"/>
      <c r="E25" s="137"/>
      <c r="F25" s="137"/>
      <c r="G25" s="138"/>
      <c r="H25" s="136"/>
      <c r="I25" s="137"/>
      <c r="J25" s="137"/>
      <c r="K25" s="138"/>
      <c r="L25" s="137"/>
      <c r="M25" s="137"/>
      <c r="N25" s="137"/>
      <c r="O25" s="138"/>
      <c r="P25" s="139"/>
      <c r="Q25" s="165"/>
      <c r="R25" s="159"/>
      <c r="S25" s="159"/>
      <c r="T25" s="140"/>
      <c r="U25" s="140"/>
      <c r="V25" s="159"/>
      <c r="W25" s="141"/>
      <c r="X25" s="141"/>
      <c r="Y25" s="141"/>
      <c r="Z25" s="141"/>
    </row>
    <row r="26" spans="1:26" ht="12.75" x14ac:dyDescent="0.2">
      <c r="A26" s="172">
        <v>13</v>
      </c>
      <c r="B26" s="127"/>
      <c r="C26" s="128"/>
      <c r="D26" s="129"/>
      <c r="E26" s="130"/>
      <c r="F26" s="130"/>
      <c r="G26" s="131"/>
      <c r="H26" s="129"/>
      <c r="I26" s="130"/>
      <c r="J26" s="130"/>
      <c r="K26" s="131"/>
      <c r="L26" s="130"/>
      <c r="M26" s="130"/>
      <c r="N26" s="130"/>
      <c r="O26" s="131"/>
      <c r="P26" s="132"/>
      <c r="Q26" s="173"/>
      <c r="R26" s="174"/>
      <c r="S26" s="174"/>
      <c r="T26" s="133"/>
      <c r="U26" s="133"/>
      <c r="V26" s="175"/>
    </row>
    <row r="27" spans="1:26" ht="12.75" x14ac:dyDescent="0.2">
      <c r="A27" s="165"/>
      <c r="B27" s="134"/>
      <c r="C27" s="135"/>
      <c r="D27" s="136"/>
      <c r="E27" s="137"/>
      <c r="F27" s="137"/>
      <c r="G27" s="138"/>
      <c r="H27" s="136"/>
      <c r="I27" s="137"/>
      <c r="J27" s="137"/>
      <c r="K27" s="138"/>
      <c r="L27" s="137"/>
      <c r="M27" s="137"/>
      <c r="N27" s="137"/>
      <c r="O27" s="138"/>
      <c r="P27" s="139"/>
      <c r="Q27" s="165"/>
      <c r="R27" s="159"/>
      <c r="S27" s="159"/>
      <c r="T27" s="140"/>
      <c r="U27" s="140"/>
      <c r="V27" s="159"/>
      <c r="W27" s="141"/>
      <c r="X27" s="141"/>
      <c r="Y27" s="141"/>
      <c r="Z27" s="141"/>
    </row>
    <row r="28" spans="1:26" ht="12.75" x14ac:dyDescent="0.2">
      <c r="A28" s="172">
        <v>14</v>
      </c>
      <c r="B28" s="127"/>
      <c r="C28" s="128"/>
      <c r="D28" s="129"/>
      <c r="E28" s="130"/>
      <c r="F28" s="130"/>
      <c r="G28" s="131"/>
      <c r="H28" s="129"/>
      <c r="I28" s="130"/>
      <c r="J28" s="130"/>
      <c r="K28" s="131"/>
      <c r="L28" s="130"/>
      <c r="M28" s="130"/>
      <c r="N28" s="130"/>
      <c r="O28" s="131"/>
      <c r="P28" s="132"/>
      <c r="Q28" s="173"/>
      <c r="R28" s="174"/>
      <c r="S28" s="174"/>
      <c r="T28" s="133"/>
      <c r="U28" s="133"/>
      <c r="V28" s="175"/>
    </row>
    <row r="29" spans="1:26" ht="12.75" x14ac:dyDescent="0.2">
      <c r="A29" s="165"/>
      <c r="B29" s="134"/>
      <c r="C29" s="135"/>
      <c r="D29" s="136"/>
      <c r="E29" s="137"/>
      <c r="F29" s="137"/>
      <c r="G29" s="138"/>
      <c r="H29" s="136"/>
      <c r="I29" s="137"/>
      <c r="J29" s="137"/>
      <c r="K29" s="138"/>
      <c r="L29" s="137"/>
      <c r="M29" s="137"/>
      <c r="N29" s="137"/>
      <c r="O29" s="138"/>
      <c r="P29" s="139"/>
      <c r="Q29" s="165"/>
      <c r="R29" s="159"/>
      <c r="S29" s="159"/>
      <c r="T29" s="140"/>
      <c r="U29" s="140"/>
      <c r="V29" s="159"/>
      <c r="W29" s="141"/>
      <c r="X29" s="141"/>
      <c r="Y29" s="141"/>
      <c r="Z29" s="141"/>
    </row>
    <row r="30" spans="1:26" ht="12.75" x14ac:dyDescent="0.2">
      <c r="A30" s="172">
        <v>15</v>
      </c>
      <c r="B30" s="127"/>
      <c r="C30" s="128"/>
      <c r="D30" s="129"/>
      <c r="E30" s="130"/>
      <c r="F30" s="130"/>
      <c r="G30" s="131"/>
      <c r="H30" s="129"/>
      <c r="I30" s="130"/>
      <c r="J30" s="130"/>
      <c r="K30" s="131"/>
      <c r="L30" s="130"/>
      <c r="M30" s="130"/>
      <c r="N30" s="130"/>
      <c r="O30" s="131"/>
      <c r="P30" s="132"/>
      <c r="Q30" s="173"/>
      <c r="R30" s="174"/>
      <c r="S30" s="174"/>
      <c r="T30" s="133"/>
      <c r="U30" s="133"/>
      <c r="V30" s="175"/>
    </row>
    <row r="31" spans="1:26" ht="12.75" x14ac:dyDescent="0.2">
      <c r="A31" s="165"/>
      <c r="B31" s="134"/>
      <c r="C31" s="135"/>
      <c r="D31" s="136"/>
      <c r="E31" s="137"/>
      <c r="F31" s="137"/>
      <c r="G31" s="138"/>
      <c r="H31" s="136"/>
      <c r="I31" s="137"/>
      <c r="J31" s="137"/>
      <c r="K31" s="138"/>
      <c r="L31" s="137"/>
      <c r="M31" s="137"/>
      <c r="N31" s="137"/>
      <c r="O31" s="138"/>
      <c r="P31" s="139"/>
      <c r="Q31" s="165"/>
      <c r="R31" s="159"/>
      <c r="S31" s="159"/>
      <c r="T31" s="140"/>
      <c r="U31" s="140"/>
      <c r="V31" s="159"/>
      <c r="W31" s="141"/>
      <c r="X31" s="141"/>
      <c r="Y31" s="141"/>
      <c r="Z31" s="141"/>
    </row>
    <row r="32" spans="1:26" ht="12.75" x14ac:dyDescent="0.2">
      <c r="A32" s="172">
        <v>16</v>
      </c>
      <c r="B32" s="127"/>
      <c r="C32" s="128"/>
      <c r="D32" s="129"/>
      <c r="E32" s="130"/>
      <c r="F32" s="130"/>
      <c r="G32" s="131"/>
      <c r="H32" s="129"/>
      <c r="I32" s="130"/>
      <c r="J32" s="130"/>
      <c r="K32" s="131"/>
      <c r="L32" s="130"/>
      <c r="M32" s="130"/>
      <c r="N32" s="130"/>
      <c r="O32" s="131"/>
      <c r="P32" s="132"/>
      <c r="Q32" s="173"/>
      <c r="R32" s="174"/>
      <c r="S32" s="174"/>
      <c r="T32" s="133"/>
      <c r="U32" s="133"/>
      <c r="V32" s="175"/>
    </row>
    <row r="33" spans="1:26" ht="12.75" x14ac:dyDescent="0.2">
      <c r="A33" s="165"/>
      <c r="B33" s="134"/>
      <c r="C33" s="135"/>
      <c r="D33" s="136"/>
      <c r="E33" s="137"/>
      <c r="F33" s="137"/>
      <c r="G33" s="138"/>
      <c r="H33" s="136"/>
      <c r="I33" s="137"/>
      <c r="J33" s="137"/>
      <c r="K33" s="138"/>
      <c r="L33" s="137"/>
      <c r="M33" s="137"/>
      <c r="N33" s="137"/>
      <c r="O33" s="138"/>
      <c r="P33" s="139"/>
      <c r="Q33" s="165"/>
      <c r="R33" s="159"/>
      <c r="S33" s="159"/>
      <c r="T33" s="140"/>
      <c r="U33" s="140"/>
      <c r="V33" s="159"/>
      <c r="W33" s="141"/>
      <c r="X33" s="141"/>
      <c r="Y33" s="141"/>
      <c r="Z33" s="141"/>
    </row>
    <row r="34" spans="1:26" ht="12.75" x14ac:dyDescent="0.2">
      <c r="A34" s="172">
        <v>17</v>
      </c>
      <c r="B34" s="127"/>
      <c r="C34" s="128"/>
      <c r="D34" s="129"/>
      <c r="E34" s="130"/>
      <c r="F34" s="130"/>
      <c r="G34" s="131"/>
      <c r="H34" s="129"/>
      <c r="I34" s="130"/>
      <c r="J34" s="130"/>
      <c r="K34" s="131"/>
      <c r="L34" s="130"/>
      <c r="M34" s="130"/>
      <c r="N34" s="130"/>
      <c r="O34" s="131"/>
      <c r="P34" s="132"/>
      <c r="Q34" s="173"/>
      <c r="R34" s="174"/>
      <c r="S34" s="174"/>
      <c r="T34" s="133"/>
      <c r="U34" s="133"/>
      <c r="V34" s="175"/>
    </row>
    <row r="35" spans="1:26" ht="12.75" x14ac:dyDescent="0.2">
      <c r="A35" s="165"/>
      <c r="B35" s="134"/>
      <c r="C35" s="135"/>
      <c r="D35" s="136"/>
      <c r="E35" s="137"/>
      <c r="F35" s="137"/>
      <c r="G35" s="138"/>
      <c r="H35" s="136"/>
      <c r="I35" s="137"/>
      <c r="J35" s="137"/>
      <c r="K35" s="138"/>
      <c r="L35" s="137"/>
      <c r="M35" s="137"/>
      <c r="N35" s="137"/>
      <c r="O35" s="138"/>
      <c r="P35" s="139"/>
      <c r="Q35" s="165"/>
      <c r="R35" s="159"/>
      <c r="S35" s="159"/>
      <c r="T35" s="140"/>
      <c r="U35" s="140"/>
      <c r="V35" s="159"/>
      <c r="W35" s="141"/>
      <c r="X35" s="141"/>
      <c r="Y35" s="141"/>
      <c r="Z35" s="141"/>
    </row>
    <row r="36" spans="1:26" ht="12.75" x14ac:dyDescent="0.2">
      <c r="A36" s="172">
        <v>18</v>
      </c>
      <c r="B36" s="127"/>
      <c r="C36" s="128"/>
      <c r="D36" s="129"/>
      <c r="E36" s="130"/>
      <c r="F36" s="130"/>
      <c r="G36" s="131"/>
      <c r="H36" s="129"/>
      <c r="I36" s="130"/>
      <c r="J36" s="130"/>
      <c r="K36" s="131"/>
      <c r="L36" s="130"/>
      <c r="M36" s="130"/>
      <c r="N36" s="130"/>
      <c r="O36" s="131"/>
      <c r="P36" s="132"/>
      <c r="Q36" s="173"/>
      <c r="R36" s="174"/>
      <c r="S36" s="174"/>
      <c r="T36" s="133"/>
      <c r="U36" s="133"/>
      <c r="V36" s="175"/>
    </row>
    <row r="37" spans="1:26" ht="12.75" x14ac:dyDescent="0.2">
      <c r="A37" s="165"/>
      <c r="B37" s="134"/>
      <c r="C37" s="135"/>
      <c r="D37" s="136"/>
      <c r="E37" s="137"/>
      <c r="F37" s="137"/>
      <c r="G37" s="138"/>
      <c r="H37" s="136"/>
      <c r="I37" s="137"/>
      <c r="J37" s="137"/>
      <c r="K37" s="138"/>
      <c r="L37" s="137"/>
      <c r="M37" s="137"/>
      <c r="N37" s="137"/>
      <c r="O37" s="138"/>
      <c r="P37" s="139"/>
      <c r="Q37" s="165"/>
      <c r="R37" s="159"/>
      <c r="S37" s="159"/>
      <c r="T37" s="140"/>
      <c r="U37" s="140"/>
      <c r="V37" s="159"/>
      <c r="W37" s="141"/>
      <c r="X37" s="141"/>
      <c r="Y37" s="141"/>
      <c r="Z37" s="141"/>
    </row>
    <row r="38" spans="1:26" ht="12.75" x14ac:dyDescent="0.2">
      <c r="A38" s="172">
        <v>19</v>
      </c>
      <c r="B38" s="127"/>
      <c r="C38" s="128"/>
      <c r="D38" s="129"/>
      <c r="E38" s="130"/>
      <c r="F38" s="130"/>
      <c r="G38" s="131"/>
      <c r="H38" s="129"/>
      <c r="I38" s="130"/>
      <c r="J38" s="130"/>
      <c r="K38" s="131"/>
      <c r="L38" s="130"/>
      <c r="M38" s="130"/>
      <c r="N38" s="130"/>
      <c r="O38" s="131"/>
      <c r="P38" s="132"/>
      <c r="Q38" s="173"/>
      <c r="R38" s="174"/>
      <c r="S38" s="174"/>
      <c r="T38" s="133"/>
      <c r="U38" s="133"/>
      <c r="V38" s="175"/>
    </row>
    <row r="39" spans="1:26" ht="12.75" x14ac:dyDescent="0.2">
      <c r="A39" s="165"/>
      <c r="B39" s="134"/>
      <c r="C39" s="135"/>
      <c r="D39" s="136"/>
      <c r="E39" s="137"/>
      <c r="F39" s="137"/>
      <c r="G39" s="138"/>
      <c r="H39" s="136"/>
      <c r="I39" s="137"/>
      <c r="J39" s="137"/>
      <c r="K39" s="138"/>
      <c r="L39" s="137"/>
      <c r="M39" s="137"/>
      <c r="N39" s="137"/>
      <c r="O39" s="138"/>
      <c r="P39" s="139"/>
      <c r="Q39" s="165"/>
      <c r="R39" s="159"/>
      <c r="S39" s="159"/>
      <c r="T39" s="140"/>
      <c r="U39" s="140"/>
      <c r="V39" s="159"/>
      <c r="W39" s="141"/>
      <c r="X39" s="141"/>
      <c r="Y39" s="141"/>
      <c r="Z39" s="141"/>
    </row>
    <row r="40" spans="1:26" ht="12.75" x14ac:dyDescent="0.2">
      <c r="A40" s="172">
        <v>20</v>
      </c>
      <c r="B40" s="127"/>
      <c r="C40" s="128"/>
      <c r="D40" s="129"/>
      <c r="E40" s="130"/>
      <c r="F40" s="130"/>
      <c r="G40" s="131"/>
      <c r="H40" s="129"/>
      <c r="I40" s="130"/>
      <c r="J40" s="130"/>
      <c r="K40" s="131"/>
      <c r="L40" s="130"/>
      <c r="M40" s="130"/>
      <c r="N40" s="130"/>
      <c r="O40" s="131"/>
      <c r="P40" s="132"/>
      <c r="Q40" s="173"/>
      <c r="R40" s="174"/>
      <c r="S40" s="174"/>
      <c r="T40" s="133"/>
      <c r="U40" s="133"/>
      <c r="V40" s="175"/>
    </row>
    <row r="41" spans="1:26" ht="12.75" x14ac:dyDescent="0.2">
      <c r="A41" s="165"/>
      <c r="B41" s="134"/>
      <c r="C41" s="135"/>
      <c r="D41" s="136"/>
      <c r="E41" s="137"/>
      <c r="F41" s="137"/>
      <c r="G41" s="138"/>
      <c r="H41" s="136"/>
      <c r="I41" s="137"/>
      <c r="J41" s="137"/>
      <c r="K41" s="138"/>
      <c r="L41" s="137"/>
      <c r="M41" s="137"/>
      <c r="N41" s="137"/>
      <c r="O41" s="138"/>
      <c r="P41" s="139"/>
      <c r="Q41" s="165"/>
      <c r="R41" s="159"/>
      <c r="S41" s="159"/>
      <c r="T41" s="140"/>
      <c r="U41" s="140"/>
      <c r="V41" s="159"/>
      <c r="W41" s="141"/>
      <c r="X41" s="141"/>
      <c r="Y41" s="141"/>
      <c r="Z41" s="141"/>
    </row>
    <row r="42" spans="1:26" ht="12.75" x14ac:dyDescent="0.2">
      <c r="A42" s="172">
        <v>21</v>
      </c>
      <c r="B42" s="127"/>
      <c r="C42" s="128"/>
      <c r="D42" s="129"/>
      <c r="E42" s="130"/>
      <c r="F42" s="130"/>
      <c r="G42" s="131"/>
      <c r="H42" s="129"/>
      <c r="I42" s="130"/>
      <c r="J42" s="130"/>
      <c r="K42" s="131"/>
      <c r="L42" s="130"/>
      <c r="M42" s="130"/>
      <c r="N42" s="130"/>
      <c r="O42" s="131"/>
      <c r="P42" s="132"/>
      <c r="Q42" s="173"/>
      <c r="R42" s="174"/>
      <c r="S42" s="174"/>
      <c r="T42" s="133"/>
      <c r="U42" s="133"/>
      <c r="V42" s="175"/>
    </row>
    <row r="43" spans="1:26" ht="12.75" x14ac:dyDescent="0.2">
      <c r="A43" s="165"/>
      <c r="B43" s="134"/>
      <c r="C43" s="135"/>
      <c r="D43" s="136"/>
      <c r="E43" s="137"/>
      <c r="F43" s="137"/>
      <c r="G43" s="138"/>
      <c r="H43" s="136"/>
      <c r="I43" s="137"/>
      <c r="J43" s="137"/>
      <c r="K43" s="138"/>
      <c r="L43" s="137"/>
      <c r="M43" s="137"/>
      <c r="N43" s="137"/>
      <c r="O43" s="138"/>
      <c r="P43" s="139"/>
      <c r="Q43" s="165"/>
      <c r="R43" s="159"/>
      <c r="S43" s="159"/>
      <c r="T43" s="140"/>
      <c r="U43" s="140"/>
      <c r="V43" s="159"/>
      <c r="W43" s="141"/>
      <c r="X43" s="141"/>
      <c r="Y43" s="141"/>
      <c r="Z43" s="141"/>
    </row>
    <row r="44" spans="1:26" ht="12.75" x14ac:dyDescent="0.2">
      <c r="A44" s="172">
        <v>22</v>
      </c>
      <c r="B44" s="127"/>
      <c r="C44" s="128"/>
      <c r="D44" s="129"/>
      <c r="E44" s="130"/>
      <c r="F44" s="130"/>
      <c r="G44" s="131"/>
      <c r="H44" s="129"/>
      <c r="I44" s="130"/>
      <c r="J44" s="130"/>
      <c r="K44" s="131"/>
      <c r="L44" s="130"/>
      <c r="M44" s="130"/>
      <c r="N44" s="130"/>
      <c r="O44" s="131"/>
      <c r="P44" s="132"/>
      <c r="Q44" s="173"/>
      <c r="R44" s="174"/>
      <c r="S44" s="174"/>
      <c r="T44" s="133"/>
      <c r="U44" s="133"/>
      <c r="V44" s="175"/>
    </row>
    <row r="45" spans="1:26" ht="12.75" x14ac:dyDescent="0.2">
      <c r="A45" s="165"/>
      <c r="B45" s="134"/>
      <c r="C45" s="135"/>
      <c r="D45" s="136"/>
      <c r="E45" s="137"/>
      <c r="F45" s="137"/>
      <c r="G45" s="138"/>
      <c r="H45" s="136"/>
      <c r="I45" s="137"/>
      <c r="J45" s="137"/>
      <c r="K45" s="138"/>
      <c r="L45" s="137"/>
      <c r="M45" s="137"/>
      <c r="N45" s="137"/>
      <c r="O45" s="138"/>
      <c r="P45" s="139"/>
      <c r="Q45" s="165"/>
      <c r="R45" s="159"/>
      <c r="S45" s="159"/>
      <c r="T45" s="140"/>
      <c r="U45" s="140"/>
      <c r="V45" s="159"/>
      <c r="W45" s="141"/>
      <c r="X45" s="141"/>
      <c r="Y45" s="141"/>
      <c r="Z45" s="141"/>
    </row>
    <row r="46" spans="1:26" ht="12.75" x14ac:dyDescent="0.2">
      <c r="A46" s="172">
        <v>23</v>
      </c>
      <c r="B46" s="127"/>
      <c r="C46" s="128"/>
      <c r="D46" s="129"/>
      <c r="E46" s="130"/>
      <c r="F46" s="130"/>
      <c r="G46" s="131"/>
      <c r="H46" s="129"/>
      <c r="I46" s="130"/>
      <c r="J46" s="130"/>
      <c r="K46" s="131"/>
      <c r="L46" s="130"/>
      <c r="M46" s="130"/>
      <c r="N46" s="130"/>
      <c r="O46" s="131"/>
      <c r="P46" s="132"/>
      <c r="Q46" s="173"/>
      <c r="R46" s="174"/>
      <c r="S46" s="174"/>
      <c r="T46" s="133"/>
      <c r="U46" s="133"/>
      <c r="V46" s="175"/>
    </row>
    <row r="47" spans="1:26" ht="12.75" x14ac:dyDescent="0.2">
      <c r="A47" s="165"/>
      <c r="B47" s="134"/>
      <c r="C47" s="135"/>
      <c r="D47" s="136"/>
      <c r="E47" s="137"/>
      <c r="F47" s="137"/>
      <c r="G47" s="138"/>
      <c r="H47" s="136"/>
      <c r="I47" s="137"/>
      <c r="J47" s="137"/>
      <c r="K47" s="138"/>
      <c r="L47" s="137"/>
      <c r="M47" s="137"/>
      <c r="N47" s="137"/>
      <c r="O47" s="138"/>
      <c r="P47" s="139"/>
      <c r="Q47" s="165"/>
      <c r="R47" s="159"/>
      <c r="S47" s="159"/>
      <c r="T47" s="140"/>
      <c r="U47" s="140"/>
      <c r="V47" s="159"/>
      <c r="W47" s="141"/>
      <c r="X47" s="141"/>
      <c r="Y47" s="141"/>
      <c r="Z47" s="141"/>
    </row>
    <row r="48" spans="1:26" ht="12.75" x14ac:dyDescent="0.2">
      <c r="A48" s="172">
        <v>24</v>
      </c>
      <c r="B48" s="127"/>
      <c r="C48" s="128"/>
      <c r="D48" s="129"/>
      <c r="E48" s="130"/>
      <c r="F48" s="130"/>
      <c r="G48" s="131"/>
      <c r="H48" s="129"/>
      <c r="I48" s="130"/>
      <c r="J48" s="130"/>
      <c r="K48" s="131"/>
      <c r="L48" s="130"/>
      <c r="M48" s="130"/>
      <c r="N48" s="130"/>
      <c r="O48" s="131"/>
      <c r="P48" s="132"/>
      <c r="Q48" s="173"/>
      <c r="R48" s="174"/>
      <c r="S48" s="174"/>
      <c r="T48" s="133"/>
      <c r="U48" s="133"/>
      <c r="V48" s="175"/>
    </row>
    <row r="49" spans="1:26" ht="12.75" x14ac:dyDescent="0.2">
      <c r="A49" s="165"/>
      <c r="B49" s="134"/>
      <c r="C49" s="135"/>
      <c r="D49" s="136"/>
      <c r="E49" s="137"/>
      <c r="F49" s="137"/>
      <c r="G49" s="138"/>
      <c r="H49" s="136"/>
      <c r="I49" s="137"/>
      <c r="J49" s="137"/>
      <c r="K49" s="138"/>
      <c r="L49" s="137"/>
      <c r="M49" s="137"/>
      <c r="N49" s="137"/>
      <c r="O49" s="138"/>
      <c r="P49" s="139"/>
      <c r="Q49" s="165"/>
      <c r="R49" s="159"/>
      <c r="S49" s="159"/>
      <c r="T49" s="140"/>
      <c r="U49" s="140"/>
      <c r="V49" s="159"/>
      <c r="W49" s="141"/>
      <c r="X49" s="141"/>
      <c r="Y49" s="141"/>
      <c r="Z49" s="141"/>
    </row>
    <row r="50" spans="1:26" ht="12.75" x14ac:dyDescent="0.2">
      <c r="A50" s="172">
        <v>25</v>
      </c>
      <c r="B50" s="127"/>
      <c r="C50" s="128"/>
      <c r="D50" s="129"/>
      <c r="E50" s="130"/>
      <c r="F50" s="130"/>
      <c r="G50" s="131"/>
      <c r="H50" s="129"/>
      <c r="I50" s="130"/>
      <c r="J50" s="130"/>
      <c r="K50" s="131"/>
      <c r="L50" s="130"/>
      <c r="M50" s="130"/>
      <c r="N50" s="130"/>
      <c r="O50" s="131"/>
      <c r="P50" s="132"/>
      <c r="Q50" s="173"/>
      <c r="R50" s="174"/>
      <c r="S50" s="174"/>
      <c r="T50" s="133"/>
      <c r="U50" s="133"/>
      <c r="V50" s="175"/>
    </row>
    <row r="51" spans="1:26" ht="12.75" x14ac:dyDescent="0.2">
      <c r="A51" s="165"/>
      <c r="B51" s="134"/>
      <c r="C51" s="135"/>
      <c r="D51" s="136"/>
      <c r="E51" s="137"/>
      <c r="F51" s="137"/>
      <c r="G51" s="138"/>
      <c r="H51" s="136"/>
      <c r="I51" s="137"/>
      <c r="J51" s="137"/>
      <c r="K51" s="138"/>
      <c r="L51" s="137"/>
      <c r="M51" s="137"/>
      <c r="N51" s="137"/>
      <c r="O51" s="138"/>
      <c r="P51" s="139"/>
      <c r="Q51" s="165"/>
      <c r="R51" s="159"/>
      <c r="S51" s="159"/>
      <c r="T51" s="140"/>
      <c r="U51" s="140"/>
      <c r="V51" s="159"/>
      <c r="W51" s="141"/>
      <c r="X51" s="141"/>
      <c r="Y51" s="141"/>
      <c r="Z51" s="141"/>
    </row>
    <row r="52" spans="1:26" ht="12.75" x14ac:dyDescent="0.2">
      <c r="A52" s="172">
        <v>26</v>
      </c>
      <c r="B52" s="127"/>
      <c r="C52" s="128"/>
      <c r="D52" s="129"/>
      <c r="E52" s="130"/>
      <c r="F52" s="130"/>
      <c r="G52" s="131"/>
      <c r="H52" s="129"/>
      <c r="I52" s="130"/>
      <c r="J52" s="130"/>
      <c r="K52" s="131"/>
      <c r="L52" s="130"/>
      <c r="M52" s="130"/>
      <c r="N52" s="130"/>
      <c r="O52" s="131"/>
      <c r="P52" s="132"/>
      <c r="Q52" s="173"/>
      <c r="R52" s="174"/>
      <c r="S52" s="174"/>
      <c r="T52" s="133"/>
      <c r="U52" s="133"/>
      <c r="V52" s="175"/>
    </row>
    <row r="53" spans="1:26" ht="12.75" x14ac:dyDescent="0.2">
      <c r="A53" s="165"/>
      <c r="B53" s="134"/>
      <c r="C53" s="135"/>
      <c r="D53" s="136"/>
      <c r="E53" s="137"/>
      <c r="F53" s="137"/>
      <c r="G53" s="138"/>
      <c r="H53" s="136"/>
      <c r="I53" s="137"/>
      <c r="J53" s="137"/>
      <c r="K53" s="138"/>
      <c r="L53" s="137"/>
      <c r="M53" s="137"/>
      <c r="N53" s="137"/>
      <c r="O53" s="138"/>
      <c r="P53" s="139"/>
      <c r="Q53" s="165"/>
      <c r="R53" s="159"/>
      <c r="S53" s="159"/>
      <c r="T53" s="140"/>
      <c r="U53" s="140"/>
      <c r="V53" s="159"/>
      <c r="W53" s="141"/>
      <c r="X53" s="141"/>
      <c r="Y53" s="141"/>
      <c r="Z53" s="141"/>
    </row>
    <row r="54" spans="1:26" ht="12.75" x14ac:dyDescent="0.2">
      <c r="A54" s="172">
        <v>27</v>
      </c>
      <c r="B54" s="127"/>
      <c r="C54" s="128"/>
      <c r="D54" s="129"/>
      <c r="E54" s="130"/>
      <c r="F54" s="130"/>
      <c r="G54" s="131"/>
      <c r="H54" s="129"/>
      <c r="I54" s="130"/>
      <c r="J54" s="130"/>
      <c r="K54" s="131"/>
      <c r="L54" s="130"/>
      <c r="M54" s="130"/>
      <c r="N54" s="130"/>
      <c r="O54" s="131"/>
      <c r="P54" s="132"/>
      <c r="Q54" s="173"/>
      <c r="R54" s="174"/>
      <c r="S54" s="174"/>
      <c r="T54" s="133"/>
      <c r="U54" s="133"/>
      <c r="V54" s="175"/>
    </row>
    <row r="55" spans="1:26" ht="12.75" x14ac:dyDescent="0.2">
      <c r="A55" s="180"/>
      <c r="B55" s="134"/>
      <c r="C55" s="135"/>
      <c r="D55" s="136"/>
      <c r="E55" s="137"/>
      <c r="F55" s="137"/>
      <c r="G55" s="138"/>
      <c r="H55" s="136"/>
      <c r="I55" s="137"/>
      <c r="J55" s="137"/>
      <c r="K55" s="138"/>
      <c r="L55" s="137"/>
      <c r="M55" s="137"/>
      <c r="N55" s="137"/>
      <c r="O55" s="138"/>
      <c r="P55" s="139"/>
      <c r="Q55" s="165"/>
      <c r="R55" s="159"/>
      <c r="S55" s="159"/>
      <c r="T55" s="140"/>
      <c r="U55" s="140"/>
      <c r="V55" s="159"/>
      <c r="W55" s="141"/>
      <c r="X55" s="141"/>
      <c r="Y55" s="141"/>
      <c r="Z55" s="141"/>
    </row>
    <row r="56" spans="1:26" ht="12.75" x14ac:dyDescent="0.2">
      <c r="A56" s="172">
        <v>28</v>
      </c>
      <c r="B56" s="127"/>
      <c r="C56" s="128"/>
      <c r="D56" s="129"/>
      <c r="E56" s="130"/>
      <c r="F56" s="130"/>
      <c r="G56" s="131"/>
      <c r="H56" s="129"/>
      <c r="I56" s="130"/>
      <c r="J56" s="130"/>
      <c r="K56" s="131"/>
      <c r="L56" s="130"/>
      <c r="M56" s="130"/>
      <c r="N56" s="130"/>
      <c r="O56" s="131"/>
      <c r="P56" s="132"/>
      <c r="Q56" s="173"/>
      <c r="R56" s="174"/>
      <c r="S56" s="174"/>
      <c r="T56" s="133"/>
      <c r="U56" s="133"/>
      <c r="V56" s="175"/>
    </row>
    <row r="57" spans="1:26" ht="12.75" x14ac:dyDescent="0.2">
      <c r="A57" s="180"/>
      <c r="B57" s="134"/>
      <c r="C57" s="135"/>
      <c r="D57" s="136"/>
      <c r="E57" s="137"/>
      <c r="F57" s="137"/>
      <c r="G57" s="138"/>
      <c r="H57" s="136"/>
      <c r="I57" s="137"/>
      <c r="J57" s="137"/>
      <c r="K57" s="138"/>
      <c r="L57" s="137"/>
      <c r="M57" s="137"/>
      <c r="N57" s="137"/>
      <c r="O57" s="138"/>
      <c r="P57" s="139"/>
      <c r="Q57" s="165"/>
      <c r="R57" s="159"/>
      <c r="S57" s="159"/>
      <c r="T57" s="140"/>
      <c r="U57" s="140"/>
      <c r="V57" s="159"/>
      <c r="W57" s="141"/>
      <c r="X57" s="141"/>
      <c r="Y57" s="141"/>
      <c r="Z57" s="141"/>
    </row>
    <row r="58" spans="1:26" ht="12.75" x14ac:dyDescent="0.2">
      <c r="A58" s="172">
        <v>29</v>
      </c>
      <c r="B58" s="127"/>
      <c r="C58" s="128"/>
      <c r="D58" s="129"/>
      <c r="E58" s="130"/>
      <c r="F58" s="130"/>
      <c r="G58" s="131"/>
      <c r="H58" s="129"/>
      <c r="I58" s="130"/>
      <c r="J58" s="130"/>
      <c r="K58" s="131"/>
      <c r="L58" s="130"/>
      <c r="M58" s="130"/>
      <c r="N58" s="130"/>
      <c r="O58" s="131"/>
      <c r="P58" s="132"/>
      <c r="Q58" s="173"/>
      <c r="R58" s="174"/>
      <c r="S58" s="174"/>
      <c r="T58" s="133"/>
      <c r="U58" s="133"/>
      <c r="V58" s="175"/>
    </row>
    <row r="59" spans="1:26" ht="12.75" x14ac:dyDescent="0.2">
      <c r="A59" s="180"/>
      <c r="B59" s="134"/>
      <c r="C59" s="135"/>
      <c r="D59" s="136"/>
      <c r="E59" s="137"/>
      <c r="F59" s="137"/>
      <c r="G59" s="138"/>
      <c r="H59" s="136"/>
      <c r="I59" s="137"/>
      <c r="J59" s="137"/>
      <c r="K59" s="138"/>
      <c r="L59" s="137"/>
      <c r="M59" s="137"/>
      <c r="N59" s="137"/>
      <c r="O59" s="138"/>
      <c r="P59" s="139"/>
      <c r="Q59" s="165"/>
      <c r="R59" s="159"/>
      <c r="S59" s="159"/>
      <c r="T59" s="140"/>
      <c r="U59" s="140"/>
      <c r="V59" s="159"/>
      <c r="W59" s="141"/>
      <c r="X59" s="141"/>
      <c r="Y59" s="141"/>
      <c r="Z59" s="141"/>
    </row>
    <row r="60" spans="1:26" ht="12.75" x14ac:dyDescent="0.2">
      <c r="A60" s="172">
        <v>30</v>
      </c>
      <c r="B60" s="127"/>
      <c r="C60" s="128"/>
      <c r="D60" s="129"/>
      <c r="E60" s="130"/>
      <c r="F60" s="130"/>
      <c r="G60" s="131"/>
      <c r="H60" s="129"/>
      <c r="I60" s="130"/>
      <c r="J60" s="130"/>
      <c r="K60" s="131"/>
      <c r="L60" s="130"/>
      <c r="M60" s="130"/>
      <c r="N60" s="130"/>
      <c r="O60" s="131"/>
      <c r="P60" s="132"/>
      <c r="Q60" s="173"/>
      <c r="R60" s="174"/>
      <c r="S60" s="174"/>
      <c r="T60" s="133"/>
      <c r="U60" s="133"/>
      <c r="V60" s="175"/>
    </row>
    <row r="61" spans="1:26" ht="12.75" x14ac:dyDescent="0.2">
      <c r="A61" s="180"/>
      <c r="B61" s="134"/>
      <c r="C61" s="135"/>
      <c r="D61" s="136"/>
      <c r="E61" s="137"/>
      <c r="F61" s="137"/>
      <c r="G61" s="138"/>
      <c r="H61" s="136"/>
      <c r="I61" s="137"/>
      <c r="J61" s="137"/>
      <c r="K61" s="138"/>
      <c r="L61" s="137"/>
      <c r="M61" s="137"/>
      <c r="N61" s="137"/>
      <c r="O61" s="138"/>
      <c r="P61" s="139"/>
      <c r="Q61" s="165"/>
      <c r="R61" s="159"/>
      <c r="S61" s="159"/>
      <c r="T61" s="140"/>
      <c r="U61" s="140"/>
      <c r="V61" s="159"/>
      <c r="W61" s="141"/>
      <c r="X61" s="141"/>
      <c r="Y61" s="141"/>
      <c r="Z61" s="141"/>
    </row>
    <row r="62" spans="1:26" ht="12.75" x14ac:dyDescent="0.2">
      <c r="A62" s="172">
        <v>31</v>
      </c>
      <c r="B62" s="127"/>
      <c r="C62" s="128"/>
      <c r="D62" s="129"/>
      <c r="E62" s="130"/>
      <c r="F62" s="130"/>
      <c r="G62" s="131"/>
      <c r="H62" s="129"/>
      <c r="I62" s="130"/>
      <c r="J62" s="130"/>
      <c r="K62" s="131"/>
      <c r="L62" s="130"/>
      <c r="M62" s="130"/>
      <c r="N62" s="130"/>
      <c r="O62" s="131"/>
      <c r="P62" s="132"/>
      <c r="Q62" s="173"/>
      <c r="R62" s="174"/>
      <c r="S62" s="174"/>
      <c r="T62" s="133"/>
      <c r="U62" s="133"/>
      <c r="V62" s="175"/>
    </row>
    <row r="63" spans="1:26" ht="12.75" x14ac:dyDescent="0.2">
      <c r="A63" s="180"/>
      <c r="B63" s="134"/>
      <c r="C63" s="135"/>
      <c r="D63" s="136"/>
      <c r="E63" s="137"/>
      <c r="F63" s="137"/>
      <c r="G63" s="138"/>
      <c r="H63" s="136"/>
      <c r="I63" s="137"/>
      <c r="J63" s="137"/>
      <c r="K63" s="138"/>
      <c r="L63" s="137"/>
      <c r="M63" s="137"/>
      <c r="N63" s="137"/>
      <c r="O63" s="138"/>
      <c r="P63" s="139"/>
      <c r="Q63" s="165"/>
      <c r="R63" s="159"/>
      <c r="S63" s="159"/>
      <c r="T63" s="140"/>
      <c r="U63" s="140"/>
      <c r="V63" s="159"/>
      <c r="W63" s="141"/>
      <c r="X63" s="141"/>
      <c r="Y63" s="141"/>
      <c r="Z63" s="141"/>
    </row>
    <row r="64" spans="1:26" ht="12.75" x14ac:dyDescent="0.2">
      <c r="A64" s="172">
        <v>32</v>
      </c>
      <c r="B64" s="127"/>
      <c r="C64" s="128"/>
      <c r="D64" s="129"/>
      <c r="E64" s="130"/>
      <c r="F64" s="130"/>
      <c r="G64" s="131"/>
      <c r="H64" s="129"/>
      <c r="I64" s="130"/>
      <c r="J64" s="130"/>
      <c r="K64" s="131"/>
      <c r="L64" s="130"/>
      <c r="M64" s="130"/>
      <c r="N64" s="130"/>
      <c r="O64" s="131"/>
      <c r="P64" s="132"/>
      <c r="Q64" s="173"/>
      <c r="R64" s="174"/>
      <c r="S64" s="174"/>
      <c r="T64" s="133"/>
      <c r="U64" s="133"/>
      <c r="V64" s="175"/>
    </row>
    <row r="65" spans="1:26" ht="12.75" x14ac:dyDescent="0.2">
      <c r="A65" s="180"/>
      <c r="B65" s="134"/>
      <c r="C65" s="135"/>
      <c r="D65" s="136"/>
      <c r="E65" s="137"/>
      <c r="F65" s="137"/>
      <c r="G65" s="138"/>
      <c r="H65" s="136"/>
      <c r="I65" s="137"/>
      <c r="J65" s="137"/>
      <c r="K65" s="138"/>
      <c r="L65" s="137"/>
      <c r="M65" s="137"/>
      <c r="N65" s="137"/>
      <c r="O65" s="138"/>
      <c r="P65" s="139"/>
      <c r="Q65" s="165"/>
      <c r="R65" s="159"/>
      <c r="S65" s="159"/>
      <c r="T65" s="140"/>
      <c r="U65" s="140"/>
      <c r="V65" s="159"/>
      <c r="W65" s="141"/>
      <c r="X65" s="141"/>
      <c r="Y65" s="141"/>
      <c r="Z65" s="141"/>
    </row>
    <row r="66" spans="1:26" ht="12.75" x14ac:dyDescent="0.2">
      <c r="A66" s="172">
        <v>33</v>
      </c>
      <c r="B66" s="127"/>
      <c r="C66" s="128"/>
      <c r="D66" s="129"/>
      <c r="E66" s="130"/>
      <c r="F66" s="130"/>
      <c r="G66" s="131"/>
      <c r="H66" s="129"/>
      <c r="I66" s="130"/>
      <c r="J66" s="130"/>
      <c r="K66" s="131"/>
      <c r="L66" s="130"/>
      <c r="M66" s="130"/>
      <c r="N66" s="130"/>
      <c r="O66" s="131"/>
      <c r="P66" s="132"/>
      <c r="Q66" s="173"/>
      <c r="R66" s="174"/>
      <c r="S66" s="174"/>
      <c r="T66" s="133"/>
      <c r="U66" s="133"/>
      <c r="V66" s="175"/>
    </row>
    <row r="67" spans="1:26" ht="12.75" x14ac:dyDescent="0.2">
      <c r="A67" s="180"/>
      <c r="B67" s="134"/>
      <c r="C67" s="135"/>
      <c r="D67" s="136"/>
      <c r="E67" s="137"/>
      <c r="F67" s="137"/>
      <c r="G67" s="138"/>
      <c r="H67" s="136"/>
      <c r="I67" s="137"/>
      <c r="J67" s="137"/>
      <c r="K67" s="138"/>
      <c r="L67" s="137"/>
      <c r="M67" s="137"/>
      <c r="N67" s="137"/>
      <c r="O67" s="138"/>
      <c r="P67" s="139"/>
      <c r="Q67" s="165"/>
      <c r="R67" s="159"/>
      <c r="S67" s="159"/>
      <c r="T67" s="140"/>
      <c r="U67" s="140"/>
      <c r="V67" s="159"/>
      <c r="W67" s="141"/>
      <c r="X67" s="141"/>
      <c r="Y67" s="141"/>
      <c r="Z67" s="141"/>
    </row>
    <row r="68" spans="1:26" ht="12.75" x14ac:dyDescent="0.2">
      <c r="A68" s="172">
        <v>34</v>
      </c>
      <c r="B68" s="127"/>
      <c r="C68" s="128"/>
      <c r="D68" s="129"/>
      <c r="E68" s="130"/>
      <c r="F68" s="130"/>
      <c r="G68" s="131"/>
      <c r="H68" s="129"/>
      <c r="I68" s="130"/>
      <c r="J68" s="130"/>
      <c r="K68" s="131"/>
      <c r="L68" s="130"/>
      <c r="M68" s="130"/>
      <c r="N68" s="130"/>
      <c r="O68" s="131"/>
      <c r="P68" s="132"/>
      <c r="Q68" s="173"/>
      <c r="R68" s="174"/>
      <c r="S68" s="174"/>
      <c r="T68" s="133"/>
      <c r="U68" s="133"/>
      <c r="V68" s="175"/>
    </row>
    <row r="69" spans="1:26" ht="12.75" x14ac:dyDescent="0.2">
      <c r="A69" s="180"/>
      <c r="B69" s="134"/>
      <c r="C69" s="135"/>
      <c r="D69" s="136"/>
      <c r="E69" s="137"/>
      <c r="F69" s="137"/>
      <c r="G69" s="138"/>
      <c r="H69" s="136"/>
      <c r="I69" s="137"/>
      <c r="J69" s="137"/>
      <c r="K69" s="138"/>
      <c r="L69" s="137"/>
      <c r="M69" s="137"/>
      <c r="N69" s="137"/>
      <c r="O69" s="138"/>
      <c r="P69" s="139"/>
      <c r="Q69" s="165"/>
      <c r="R69" s="159"/>
      <c r="S69" s="159"/>
      <c r="T69" s="140"/>
      <c r="U69" s="140"/>
      <c r="V69" s="159"/>
      <c r="W69" s="141"/>
      <c r="X69" s="141"/>
      <c r="Y69" s="141"/>
      <c r="Z69" s="141"/>
    </row>
    <row r="70" spans="1:26" ht="12.75" x14ac:dyDescent="0.2">
      <c r="A70" s="172">
        <v>35</v>
      </c>
      <c r="B70" s="127"/>
      <c r="C70" s="128"/>
      <c r="D70" s="129"/>
      <c r="E70" s="130"/>
      <c r="F70" s="130"/>
      <c r="G70" s="131"/>
      <c r="H70" s="129"/>
      <c r="I70" s="130"/>
      <c r="J70" s="130"/>
      <c r="K70" s="131"/>
      <c r="L70" s="130"/>
      <c r="M70" s="130"/>
      <c r="N70" s="130"/>
      <c r="O70" s="131"/>
      <c r="P70" s="132"/>
      <c r="Q70" s="173"/>
      <c r="R70" s="174"/>
      <c r="S70" s="174"/>
      <c r="T70" s="133"/>
      <c r="U70" s="133"/>
      <c r="V70" s="175"/>
    </row>
    <row r="71" spans="1:26" ht="12.75" x14ac:dyDescent="0.2">
      <c r="A71" s="180"/>
      <c r="B71" s="134"/>
      <c r="C71" s="135"/>
      <c r="D71" s="136"/>
      <c r="E71" s="137"/>
      <c r="F71" s="137"/>
      <c r="G71" s="138"/>
      <c r="H71" s="136"/>
      <c r="I71" s="137"/>
      <c r="J71" s="137"/>
      <c r="K71" s="138"/>
      <c r="L71" s="137"/>
      <c r="M71" s="137"/>
      <c r="N71" s="137"/>
      <c r="O71" s="138"/>
      <c r="P71" s="139"/>
      <c r="Q71" s="165"/>
      <c r="R71" s="159"/>
      <c r="S71" s="159"/>
      <c r="T71" s="140"/>
      <c r="U71" s="140"/>
      <c r="V71" s="159"/>
      <c r="W71" s="141"/>
      <c r="X71" s="141"/>
      <c r="Y71" s="141"/>
      <c r="Z71" s="141"/>
    </row>
    <row r="72" spans="1:26" ht="12.75" x14ac:dyDescent="0.2">
      <c r="A72" s="172">
        <v>36</v>
      </c>
      <c r="B72" s="127"/>
      <c r="C72" s="128"/>
      <c r="D72" s="129"/>
      <c r="E72" s="130"/>
      <c r="F72" s="130"/>
      <c r="G72" s="131"/>
      <c r="H72" s="129"/>
      <c r="I72" s="130"/>
      <c r="J72" s="130"/>
      <c r="K72" s="131"/>
      <c r="L72" s="130"/>
      <c r="M72" s="130"/>
      <c r="N72" s="130"/>
      <c r="O72" s="131"/>
      <c r="P72" s="132"/>
      <c r="Q72" s="173"/>
      <c r="R72" s="174"/>
      <c r="S72" s="174"/>
      <c r="T72" s="133"/>
      <c r="U72" s="133"/>
      <c r="V72" s="175"/>
    </row>
    <row r="73" spans="1:26" ht="12.75" x14ac:dyDescent="0.2">
      <c r="A73" s="180"/>
      <c r="B73" s="134"/>
      <c r="C73" s="135"/>
      <c r="D73" s="136"/>
      <c r="E73" s="137"/>
      <c r="F73" s="137"/>
      <c r="G73" s="138"/>
      <c r="H73" s="136"/>
      <c r="I73" s="137"/>
      <c r="J73" s="137"/>
      <c r="K73" s="138"/>
      <c r="L73" s="137"/>
      <c r="M73" s="137"/>
      <c r="N73" s="137"/>
      <c r="O73" s="138"/>
      <c r="P73" s="139"/>
      <c r="Q73" s="165"/>
      <c r="R73" s="159"/>
      <c r="S73" s="159"/>
      <c r="T73" s="140"/>
      <c r="U73" s="140"/>
      <c r="V73" s="159"/>
      <c r="W73" s="141"/>
      <c r="X73" s="141"/>
      <c r="Y73" s="141"/>
      <c r="Z73" s="141"/>
    </row>
    <row r="74" spans="1:26" ht="12.75" x14ac:dyDescent="0.2">
      <c r="A74" s="172">
        <v>37</v>
      </c>
      <c r="B74" s="127"/>
      <c r="C74" s="128"/>
      <c r="D74" s="129"/>
      <c r="E74" s="130"/>
      <c r="F74" s="130"/>
      <c r="G74" s="131"/>
      <c r="H74" s="129"/>
      <c r="I74" s="130"/>
      <c r="J74" s="130"/>
      <c r="K74" s="131"/>
      <c r="L74" s="130"/>
      <c r="M74" s="130"/>
      <c r="N74" s="130"/>
      <c r="O74" s="131"/>
      <c r="P74" s="132"/>
      <c r="Q74" s="173"/>
      <c r="R74" s="174"/>
      <c r="S74" s="174"/>
      <c r="T74" s="133"/>
      <c r="U74" s="133"/>
      <c r="V74" s="175"/>
    </row>
    <row r="75" spans="1:26" ht="12.75" x14ac:dyDescent="0.2">
      <c r="A75" s="180"/>
      <c r="B75" s="134"/>
      <c r="C75" s="135"/>
      <c r="D75" s="136"/>
      <c r="E75" s="137"/>
      <c r="F75" s="137"/>
      <c r="G75" s="138"/>
      <c r="H75" s="136"/>
      <c r="I75" s="137"/>
      <c r="J75" s="137"/>
      <c r="K75" s="138"/>
      <c r="L75" s="137"/>
      <c r="M75" s="137"/>
      <c r="N75" s="137"/>
      <c r="O75" s="138"/>
      <c r="P75" s="139"/>
      <c r="Q75" s="165"/>
      <c r="R75" s="159"/>
      <c r="S75" s="159"/>
      <c r="T75" s="140"/>
      <c r="U75" s="140"/>
      <c r="V75" s="159"/>
      <c r="W75" s="141"/>
      <c r="X75" s="141"/>
      <c r="Y75" s="141"/>
      <c r="Z75" s="141"/>
    </row>
    <row r="76" spans="1:26" ht="12.75" x14ac:dyDescent="0.2">
      <c r="A76" s="172">
        <v>38</v>
      </c>
      <c r="B76" s="127"/>
      <c r="C76" s="128"/>
      <c r="D76" s="129"/>
      <c r="E76" s="130"/>
      <c r="F76" s="130"/>
      <c r="G76" s="131"/>
      <c r="H76" s="129"/>
      <c r="I76" s="130"/>
      <c r="J76" s="130"/>
      <c r="K76" s="131"/>
      <c r="L76" s="130"/>
      <c r="M76" s="130"/>
      <c r="N76" s="130"/>
      <c r="O76" s="131"/>
      <c r="P76" s="132"/>
      <c r="Q76" s="173"/>
      <c r="R76" s="174"/>
      <c r="S76" s="174"/>
      <c r="T76" s="133"/>
      <c r="U76" s="133"/>
      <c r="V76" s="175"/>
    </row>
    <row r="77" spans="1:26" ht="12.75" x14ac:dyDescent="0.2">
      <c r="A77" s="180"/>
      <c r="B77" s="134"/>
      <c r="C77" s="135"/>
      <c r="D77" s="136"/>
      <c r="E77" s="137"/>
      <c r="F77" s="137"/>
      <c r="G77" s="138"/>
      <c r="H77" s="136"/>
      <c r="I77" s="137"/>
      <c r="J77" s="137"/>
      <c r="K77" s="138"/>
      <c r="L77" s="137"/>
      <c r="M77" s="137"/>
      <c r="N77" s="137"/>
      <c r="O77" s="138"/>
      <c r="P77" s="139"/>
      <c r="Q77" s="165"/>
      <c r="R77" s="159"/>
      <c r="S77" s="159"/>
      <c r="T77" s="140"/>
      <c r="U77" s="140"/>
      <c r="V77" s="159"/>
      <c r="W77" s="141"/>
      <c r="X77" s="141"/>
      <c r="Y77" s="141"/>
      <c r="Z77" s="141"/>
    </row>
    <row r="78" spans="1:26" ht="12.75" x14ac:dyDescent="0.2">
      <c r="A78" s="172">
        <v>39</v>
      </c>
      <c r="B78" s="127"/>
      <c r="C78" s="128"/>
      <c r="D78" s="129"/>
      <c r="E78" s="130"/>
      <c r="F78" s="130"/>
      <c r="G78" s="131"/>
      <c r="H78" s="129"/>
      <c r="I78" s="130"/>
      <c r="J78" s="130"/>
      <c r="K78" s="131"/>
      <c r="L78" s="130"/>
      <c r="M78" s="130"/>
      <c r="N78" s="130"/>
      <c r="O78" s="131"/>
      <c r="P78" s="132"/>
      <c r="Q78" s="173"/>
      <c r="R78" s="174"/>
      <c r="S78" s="174"/>
      <c r="T78" s="133"/>
      <c r="U78" s="133"/>
      <c r="V78" s="175"/>
    </row>
    <row r="79" spans="1:26" ht="12.75" x14ac:dyDescent="0.2">
      <c r="A79" s="180"/>
      <c r="B79" s="134"/>
      <c r="C79" s="135"/>
      <c r="D79" s="136"/>
      <c r="E79" s="137"/>
      <c r="F79" s="137"/>
      <c r="G79" s="138"/>
      <c r="H79" s="136"/>
      <c r="I79" s="137"/>
      <c r="J79" s="137"/>
      <c r="K79" s="138"/>
      <c r="L79" s="137"/>
      <c r="M79" s="137"/>
      <c r="N79" s="137"/>
      <c r="O79" s="138"/>
      <c r="P79" s="139"/>
      <c r="Q79" s="165"/>
      <c r="R79" s="159"/>
      <c r="S79" s="159"/>
      <c r="T79" s="140"/>
      <c r="U79" s="140"/>
      <c r="V79" s="159"/>
      <c r="W79" s="141"/>
      <c r="X79" s="141"/>
      <c r="Y79" s="141"/>
      <c r="Z79" s="141"/>
    </row>
    <row r="80" spans="1:26" ht="12.75" x14ac:dyDescent="0.2">
      <c r="A80" s="172">
        <v>40</v>
      </c>
      <c r="B80" s="127"/>
      <c r="C80" s="128"/>
      <c r="D80" s="129"/>
      <c r="E80" s="130"/>
      <c r="F80" s="130"/>
      <c r="G80" s="131"/>
      <c r="H80" s="129"/>
      <c r="I80" s="130"/>
      <c r="J80" s="130"/>
      <c r="K80" s="131"/>
      <c r="L80" s="130"/>
      <c r="M80" s="130"/>
      <c r="N80" s="130"/>
      <c r="O80" s="131"/>
      <c r="P80" s="132"/>
      <c r="Q80" s="173"/>
      <c r="R80" s="174"/>
      <c r="S80" s="174"/>
      <c r="T80" s="133"/>
      <c r="U80" s="133"/>
      <c r="V80" s="175"/>
    </row>
    <row r="81" spans="1:26" ht="12.75" x14ac:dyDescent="0.2">
      <c r="A81" s="165"/>
      <c r="B81" s="134"/>
      <c r="C81" s="135"/>
      <c r="D81" s="136"/>
      <c r="E81" s="137"/>
      <c r="F81" s="137"/>
      <c r="G81" s="138"/>
      <c r="H81" s="137"/>
      <c r="I81" s="137"/>
      <c r="J81" s="137"/>
      <c r="K81" s="138"/>
      <c r="L81" s="137"/>
      <c r="M81" s="137"/>
      <c r="N81" s="137"/>
      <c r="O81" s="138"/>
      <c r="P81" s="139"/>
      <c r="Q81" s="165"/>
      <c r="R81" s="159"/>
      <c r="S81" s="159"/>
      <c r="T81" s="140"/>
      <c r="U81" s="140"/>
      <c r="V81" s="159"/>
      <c r="W81" s="141"/>
      <c r="X81" s="141"/>
      <c r="Y81" s="141"/>
      <c r="Z81" s="141"/>
    </row>
  </sheetData>
  <mergeCells count="200">
    <mergeCell ref="A52:A53"/>
    <mergeCell ref="Q52:Q53"/>
    <mergeCell ref="R52:R53"/>
    <mergeCell ref="S52:S53"/>
    <mergeCell ref="V52:V53"/>
    <mergeCell ref="Q54:Q55"/>
    <mergeCell ref="V54:V55"/>
    <mergeCell ref="R50:R51"/>
    <mergeCell ref="S50:S51"/>
    <mergeCell ref="A54:A55"/>
    <mergeCell ref="A56:A57"/>
    <mergeCell ref="Q56:Q57"/>
    <mergeCell ref="R56:R57"/>
    <mergeCell ref="S56:S57"/>
    <mergeCell ref="V56:V57"/>
    <mergeCell ref="Q58:Q59"/>
    <mergeCell ref="V58:V59"/>
    <mergeCell ref="R54:R55"/>
    <mergeCell ref="S54:S55"/>
    <mergeCell ref="A58:A59"/>
    <mergeCell ref="A60:A61"/>
    <mergeCell ref="Q60:Q61"/>
    <mergeCell ref="R60:R61"/>
    <mergeCell ref="S60:S61"/>
    <mergeCell ref="V60:V61"/>
    <mergeCell ref="Q62:Q63"/>
    <mergeCell ref="V62:V63"/>
    <mergeCell ref="R58:R59"/>
    <mergeCell ref="S58:S59"/>
    <mergeCell ref="A62:A63"/>
    <mergeCell ref="A64:A65"/>
    <mergeCell ref="Q64:Q65"/>
    <mergeCell ref="R64:R65"/>
    <mergeCell ref="S64:S65"/>
    <mergeCell ref="V64:V65"/>
    <mergeCell ref="Q66:Q67"/>
    <mergeCell ref="V66:V67"/>
    <mergeCell ref="R62:R63"/>
    <mergeCell ref="S62:S63"/>
    <mergeCell ref="A66:A67"/>
    <mergeCell ref="A68:A69"/>
    <mergeCell ref="Q68:Q69"/>
    <mergeCell ref="R68:R69"/>
    <mergeCell ref="S68:S69"/>
    <mergeCell ref="V68:V69"/>
    <mergeCell ref="Q70:Q71"/>
    <mergeCell ref="V70:V71"/>
    <mergeCell ref="R66:R67"/>
    <mergeCell ref="S66:S67"/>
    <mergeCell ref="A70:A71"/>
    <mergeCell ref="A72:A73"/>
    <mergeCell ref="Q72:Q73"/>
    <mergeCell ref="R72:R73"/>
    <mergeCell ref="S72:S73"/>
    <mergeCell ref="V72:V73"/>
    <mergeCell ref="Q74:Q75"/>
    <mergeCell ref="V74:V75"/>
    <mergeCell ref="R70:R71"/>
    <mergeCell ref="S70:S71"/>
    <mergeCell ref="R78:R79"/>
    <mergeCell ref="S78:S79"/>
    <mergeCell ref="A74:A75"/>
    <mergeCell ref="A76:A77"/>
    <mergeCell ref="Q76:Q77"/>
    <mergeCell ref="R76:R77"/>
    <mergeCell ref="S76:S77"/>
    <mergeCell ref="V76:V77"/>
    <mergeCell ref="Q78:Q79"/>
    <mergeCell ref="V78:V79"/>
    <mergeCell ref="A78:A79"/>
    <mergeCell ref="R74:R75"/>
    <mergeCell ref="S74:S75"/>
    <mergeCell ref="V6:V7"/>
    <mergeCell ref="Q8:Q9"/>
    <mergeCell ref="R8:R9"/>
    <mergeCell ref="S8:S9"/>
    <mergeCell ref="Q10:Q11"/>
    <mergeCell ref="R10:R11"/>
    <mergeCell ref="S10:S11"/>
    <mergeCell ref="A2:A3"/>
    <mergeCell ref="Q2:Q3"/>
    <mergeCell ref="R2:R3"/>
    <mergeCell ref="S2:S3"/>
    <mergeCell ref="V2:V3"/>
    <mergeCell ref="Q4:Q5"/>
    <mergeCell ref="V4:V5"/>
    <mergeCell ref="R4:R5"/>
    <mergeCell ref="S4:S5"/>
    <mergeCell ref="R12:R13"/>
    <mergeCell ref="S12:S13"/>
    <mergeCell ref="A4:A5"/>
    <mergeCell ref="A6:A7"/>
    <mergeCell ref="A8:A9"/>
    <mergeCell ref="A10:A11"/>
    <mergeCell ref="A12:A13"/>
    <mergeCell ref="A14:A15"/>
    <mergeCell ref="A16:A17"/>
    <mergeCell ref="R14:R15"/>
    <mergeCell ref="S14:S15"/>
    <mergeCell ref="R16:R17"/>
    <mergeCell ref="S16:S17"/>
    <mergeCell ref="Q6:Q7"/>
    <mergeCell ref="R6:R7"/>
    <mergeCell ref="S6:S7"/>
    <mergeCell ref="A18:A19"/>
    <mergeCell ref="A20:A21"/>
    <mergeCell ref="A22:A23"/>
    <mergeCell ref="A24:A25"/>
    <mergeCell ref="A26:A27"/>
    <mergeCell ref="A28:A29"/>
    <mergeCell ref="A30:A31"/>
    <mergeCell ref="Q12:Q13"/>
    <mergeCell ref="Q14:Q15"/>
    <mergeCell ref="Q16:Q17"/>
    <mergeCell ref="Q24:Q25"/>
    <mergeCell ref="A80:A81"/>
    <mergeCell ref="Q80:Q81"/>
    <mergeCell ref="R80:R81"/>
    <mergeCell ref="S80:S81"/>
    <mergeCell ref="V80:V81"/>
    <mergeCell ref="A32:A33"/>
    <mergeCell ref="A34:A35"/>
    <mergeCell ref="A36:A37"/>
    <mergeCell ref="A38:A39"/>
    <mergeCell ref="A40:A41"/>
    <mergeCell ref="A42:A43"/>
    <mergeCell ref="A44:A45"/>
    <mergeCell ref="Q38:Q39"/>
    <mergeCell ref="Q40:Q41"/>
    <mergeCell ref="R40:R41"/>
    <mergeCell ref="S40:S41"/>
    <mergeCell ref="Q36:Q37"/>
    <mergeCell ref="R36:R37"/>
    <mergeCell ref="S36:S37"/>
    <mergeCell ref="V36:V37"/>
    <mergeCell ref="R38:R39"/>
    <mergeCell ref="S38:S39"/>
    <mergeCell ref="V38:V39"/>
    <mergeCell ref="V40:V41"/>
    <mergeCell ref="R22:R23"/>
    <mergeCell ref="S22:S23"/>
    <mergeCell ref="Q18:Q19"/>
    <mergeCell ref="R18:R19"/>
    <mergeCell ref="S18:S19"/>
    <mergeCell ref="Q20:Q21"/>
    <mergeCell ref="R20:R21"/>
    <mergeCell ref="S20:S21"/>
    <mergeCell ref="Q22:Q23"/>
    <mergeCell ref="V22:V23"/>
    <mergeCell ref="V24:V25"/>
    <mergeCell ref="V8:V9"/>
    <mergeCell ref="V10:V11"/>
    <mergeCell ref="V12:V13"/>
    <mergeCell ref="V14:V15"/>
    <mergeCell ref="V16:V17"/>
    <mergeCell ref="V18:V19"/>
    <mergeCell ref="V20:V21"/>
    <mergeCell ref="R24:R25"/>
    <mergeCell ref="S24:S25"/>
    <mergeCell ref="Q26:Q27"/>
    <mergeCell ref="R26:R27"/>
    <mergeCell ref="S26:S27"/>
    <mergeCell ref="V26:V27"/>
    <mergeCell ref="Q28:Q29"/>
    <mergeCell ref="R28:R29"/>
    <mergeCell ref="S28:S29"/>
    <mergeCell ref="V28:V29"/>
    <mergeCell ref="Q42:Q43"/>
    <mergeCell ref="R42:R43"/>
    <mergeCell ref="S42:S43"/>
    <mergeCell ref="V42:V43"/>
    <mergeCell ref="R44:R45"/>
    <mergeCell ref="S44:S45"/>
    <mergeCell ref="V44:V45"/>
    <mergeCell ref="V46:V47"/>
    <mergeCell ref="R30:R31"/>
    <mergeCell ref="S30:S31"/>
    <mergeCell ref="V30:V31"/>
    <mergeCell ref="V32:V33"/>
    <mergeCell ref="V34:V35"/>
    <mergeCell ref="Q30:Q31"/>
    <mergeCell ref="Q32:Q33"/>
    <mergeCell ref="R32:R33"/>
    <mergeCell ref="S32:S33"/>
    <mergeCell ref="Q34:Q35"/>
    <mergeCell ref="R34:R35"/>
    <mergeCell ref="S34:S35"/>
    <mergeCell ref="A46:A47"/>
    <mergeCell ref="A48:A49"/>
    <mergeCell ref="Q48:Q49"/>
    <mergeCell ref="R48:R49"/>
    <mergeCell ref="S48:S49"/>
    <mergeCell ref="V48:V49"/>
    <mergeCell ref="Q50:Q51"/>
    <mergeCell ref="V50:V51"/>
    <mergeCell ref="Q44:Q45"/>
    <mergeCell ref="Q46:Q47"/>
    <mergeCell ref="R46:R47"/>
    <mergeCell ref="S46:S47"/>
    <mergeCell ref="A50:A51"/>
  </mergeCells>
  <conditionalFormatting sqref="Q1:Q1000">
    <cfRule type="cellIs" dxfId="28" priority="1" operator="between">
      <formula>900</formula>
      <formula>999</formula>
    </cfRule>
    <cfRule type="cellIs" dxfId="27" priority="2" operator="between">
      <formula>800</formula>
      <formula>900</formula>
    </cfRule>
    <cfRule type="cellIs" dxfId="26" priority="5" operator="greaterThanOrEqual">
      <formula>1000</formula>
    </cfRule>
  </conditionalFormatting>
  <conditionalFormatting sqref="V1:V1000">
    <cfRule type="cellIs" dxfId="25" priority="3" operator="equal">
      <formula>"Š"</formula>
    </cfRule>
    <cfRule type="cellIs" dxfId="24" priority="4" operator="equal">
      <formula>"TV"</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A81"/>
  <sheetViews>
    <sheetView workbookViewId="0">
      <pane ySplit="1" topLeftCell="A2" activePane="bottomLeft" state="frozen"/>
      <selection activeCell="B3" sqref="B3"/>
      <selection pane="bottomLeft" activeCell="B3" sqref="B3"/>
    </sheetView>
  </sheetViews>
  <sheetFormatPr defaultColWidth="12.5703125" defaultRowHeight="15" customHeight="1" x14ac:dyDescent="0.2"/>
  <cols>
    <col min="1" max="1" width="6.5703125" customWidth="1"/>
    <col min="2" max="2" width="16.85546875" customWidth="1"/>
    <col min="3" max="3" width="15.140625" customWidth="1"/>
    <col min="4" max="11" width="6.42578125" hidden="1" customWidth="1"/>
    <col min="12" max="15" width="6.42578125" customWidth="1"/>
    <col min="16" max="16" width="7.5703125" hidden="1" customWidth="1"/>
    <col min="17" max="17" width="7.5703125" customWidth="1"/>
    <col min="18" max="19" width="6.42578125" customWidth="1"/>
    <col min="20" max="21" width="6.42578125" hidden="1" customWidth="1"/>
    <col min="22" max="22" width="6.42578125" customWidth="1"/>
    <col min="23" max="24" width="6.42578125" hidden="1" customWidth="1"/>
    <col min="25" max="26" width="12.5703125" hidden="1"/>
  </cols>
  <sheetData>
    <row r="1" spans="1:27" ht="50.25" customHeight="1" x14ac:dyDescent="0.2">
      <c r="A1" s="101" t="s">
        <v>150</v>
      </c>
      <c r="B1" s="102" t="str">
        <f ca="1">IFERROR(__xludf.DUMMYFUNCTION("QUERY('2025'!C1:AB1000, ""SELECT * WHERE Y = 'N' ORDER BY Q DESC, U DESC"", 1)
"),"Jméno")</f>
        <v>Jméno</v>
      </c>
      <c r="C1" s="103" t="str">
        <f ca="1">IFERROR(__xludf.DUMMYFUNCTION("""COMPUTED_VALUE"""),"oddíl")</f>
        <v>oddíl</v>
      </c>
      <c r="D1" s="104" t="str">
        <f ca="1">IFERROR(__xludf.DUMMYFUNCTION("""COMPUTED_VALUE"""),"")</f>
        <v/>
      </c>
      <c r="E1" s="104" t="str">
        <f ca="1">IFERROR(__xludf.DUMMYFUNCTION("""COMPUTED_VALUE"""),"")</f>
        <v/>
      </c>
      <c r="F1" s="104" t="str">
        <f ca="1">IFERROR(__xludf.DUMMYFUNCTION("""COMPUTED_VALUE"""),"")</f>
        <v/>
      </c>
      <c r="G1" s="104" t="str">
        <f ca="1">IFERROR(__xludf.DUMMYFUNCTION("""COMPUTED_VALUE"""),"")</f>
        <v/>
      </c>
      <c r="H1" s="104" t="str">
        <f ca="1">IFERROR(__xludf.DUMMYFUNCTION("""COMPUTED_VALUE"""),"")</f>
        <v/>
      </c>
      <c r="I1" s="104" t="str">
        <f ca="1">IFERROR(__xludf.DUMMYFUNCTION("""COMPUTED_VALUE"""),"")</f>
        <v/>
      </c>
      <c r="J1" s="104" t="str">
        <f ca="1">IFERROR(__xludf.DUMMYFUNCTION("""COMPUTED_VALUE"""),"")</f>
        <v/>
      </c>
      <c r="K1" s="104" t="str">
        <f ca="1">IFERROR(__xludf.DUMMYFUNCTION("""COMPUTED_VALUE"""),"")</f>
        <v/>
      </c>
      <c r="L1" s="105" t="str">
        <f ca="1">IFERROR(__xludf.DUMMYFUNCTION("""COMPUTED_VALUE"""),"Plné")</f>
        <v>Plné</v>
      </c>
      <c r="M1" s="105" t="str">
        <f ca="1">IFERROR(__xludf.DUMMYFUNCTION("""COMPUTED_VALUE"""),"Dorážka")</f>
        <v>Dorážka</v>
      </c>
      <c r="N1" s="105" t="str">
        <f ca="1">IFERROR(__xludf.DUMMYFUNCTION("""COMPUTED_VALUE"""),"Chyby")</f>
        <v>Chyby</v>
      </c>
      <c r="O1" s="106" t="str">
        <f ca="1">IFERROR(__xludf.DUMMYFUNCTION("""COMPUTED_VALUE"""),"Celkem")</f>
        <v>Celkem</v>
      </c>
      <c r="P1" s="105" t="str">
        <f ca="1">IFERROR(__xludf.DUMMYFUNCTION("""COMPUTED_VALUE"""),"Celkem dvojice")</f>
        <v>Celkem dvojice</v>
      </c>
      <c r="Q1" s="107" t="str">
        <f ca="1">IFERROR(__xludf.DUMMYFUNCTION("""COMPUTED_VALUE"""),"Celkem dvojice")</f>
        <v>Celkem dvojice</v>
      </c>
      <c r="R1" s="108" t="str">
        <f ca="1">IFERROR(__xludf.DUMMYFUNCTION("""COMPUTED_VALUE"""),"Dorážka dvojice")</f>
        <v>Dorážka dvojice</v>
      </c>
      <c r="S1" s="108" t="str">
        <f ca="1">IFERROR(__xludf.DUMMYFUNCTION("""COMPUTED_VALUE"""),"Chyby dvojice")</f>
        <v>Chyby dvojice</v>
      </c>
      <c r="T1" s="109" t="str">
        <f ca="1">IFERROR(__xludf.DUMMYFUNCTION("""COMPUTED_VALUE"""),"")</f>
        <v/>
      </c>
      <c r="U1" s="109" t="str">
        <f ca="1">IFERROR(__xludf.DUMMYFUNCTION("""COMPUTED_VALUE"""),"")</f>
        <v/>
      </c>
      <c r="V1" s="110" t="str">
        <f ca="1">IFERROR(__xludf.DUMMYFUNCTION("""COMPUTED_VALUE"""),"Turné Vysočina")</f>
        <v>Turné Vysočina</v>
      </c>
      <c r="W1" s="111" t="str">
        <f ca="1">IFERROR(__xludf.DUMMYFUNCTION("""COMPUTED_VALUE"""),"")</f>
        <v/>
      </c>
      <c r="X1" s="111" t="str">
        <f ca="1">IFERROR(__xludf.DUMMYFUNCTION("""COMPUTED_VALUE"""),"")</f>
        <v/>
      </c>
      <c r="Y1" s="112" t="str">
        <f ca="1">IFERROR(__xludf.DUMMYFUNCTION("""COMPUTED_VALUE"""),"")</f>
        <v/>
      </c>
      <c r="Z1" s="112" t="str">
        <f ca="1">IFERROR(__xludf.DUMMYFUNCTION("""COMPUTED_VALUE"""),"")</f>
        <v/>
      </c>
      <c r="AA1" s="8" t="str">
        <f ca="1">IFERROR(__xludf.DUMMYFUNCTION("""COMPUTED_VALUE"""),"")</f>
        <v/>
      </c>
    </row>
    <row r="2" spans="1:27" ht="12.75" x14ac:dyDescent="0.2">
      <c r="A2" s="176">
        <v>1</v>
      </c>
      <c r="B2" s="113" t="str">
        <f ca="1">IFERROR(__xludf.DUMMYFUNCTION("""COMPUTED_VALUE"""),"Pešák David")</f>
        <v>Pešák David</v>
      </c>
      <c r="C2" s="114" t="str">
        <f ca="1">IFERROR(__xludf.DUMMYFUNCTION("""COMPUTED_VALUE"""),"Pacoši Slavonice")</f>
        <v>Pacoši Slavonice</v>
      </c>
      <c r="D2" s="115">
        <f ca="1">IFERROR(__xludf.DUMMYFUNCTION("""COMPUTED_VALUE"""),141)</f>
        <v>141</v>
      </c>
      <c r="E2" s="116">
        <f ca="1">IFERROR(__xludf.DUMMYFUNCTION("""COMPUTED_VALUE"""),78)</f>
        <v>78</v>
      </c>
      <c r="F2" s="116">
        <f ca="1">IFERROR(__xludf.DUMMYFUNCTION("""COMPUTED_VALUE"""),0)</f>
        <v>0</v>
      </c>
      <c r="G2" s="117">
        <f ca="1">IFERROR(__xludf.DUMMYFUNCTION("""COMPUTED_VALUE"""),219)</f>
        <v>219</v>
      </c>
      <c r="H2" s="115">
        <f ca="1">IFERROR(__xludf.DUMMYFUNCTION("""COMPUTED_VALUE"""),155)</f>
        <v>155</v>
      </c>
      <c r="I2" s="116">
        <f ca="1">IFERROR(__xludf.DUMMYFUNCTION("""COMPUTED_VALUE"""),96)</f>
        <v>96</v>
      </c>
      <c r="J2" s="116">
        <f ca="1">IFERROR(__xludf.DUMMYFUNCTION("""COMPUTED_VALUE"""),0)</f>
        <v>0</v>
      </c>
      <c r="K2" s="117">
        <f ca="1">IFERROR(__xludf.DUMMYFUNCTION("""COMPUTED_VALUE"""),251)</f>
        <v>251</v>
      </c>
      <c r="L2" s="116">
        <f ca="1">IFERROR(__xludf.DUMMYFUNCTION("""COMPUTED_VALUE"""),296)</f>
        <v>296</v>
      </c>
      <c r="M2" s="116">
        <f ca="1">IFERROR(__xludf.DUMMYFUNCTION("""COMPUTED_VALUE"""),174)</f>
        <v>174</v>
      </c>
      <c r="N2" s="116">
        <f ca="1">IFERROR(__xludf.DUMMYFUNCTION("""COMPUTED_VALUE"""),0)</f>
        <v>0</v>
      </c>
      <c r="O2" s="117">
        <f ca="1">IFERROR(__xludf.DUMMYFUNCTION("""COMPUTED_VALUE"""),470)</f>
        <v>470</v>
      </c>
      <c r="P2" s="116">
        <f ca="1">IFERROR(__xludf.DUMMYFUNCTION("""COMPUTED_VALUE"""),924)</f>
        <v>924</v>
      </c>
      <c r="Q2" s="177">
        <f ca="1">IFERROR(__xludf.DUMMYFUNCTION("""COMPUTED_VALUE"""),924)</f>
        <v>924</v>
      </c>
      <c r="R2" s="178">
        <f ca="1">IFERROR(__xludf.DUMMYFUNCTION("""COMPUTED_VALUE"""),338)</f>
        <v>338</v>
      </c>
      <c r="S2" s="178">
        <f ca="1">IFERROR(__xludf.DUMMYFUNCTION("""COMPUTED_VALUE"""),4)</f>
        <v>4</v>
      </c>
      <c r="T2" s="118">
        <f ca="1">IFERROR(__xludf.DUMMYFUNCTION("""COMPUTED_VALUE"""),338)</f>
        <v>338</v>
      </c>
      <c r="U2" s="118">
        <f ca="1">IFERROR(__xludf.DUMMYFUNCTION("""COMPUTED_VALUE"""),4)</f>
        <v>4</v>
      </c>
      <c r="V2" s="179" t="str">
        <f ca="1">IFERROR(__xludf.DUMMYFUNCTION("""COMPUTED_VALUE"""),"TV")</f>
        <v>TV</v>
      </c>
      <c r="W2" s="119" t="str">
        <f ca="1">IFERROR(__xludf.DUMMYFUNCTION("""COMPUTED_VALUE"""),"TV")</f>
        <v>TV</v>
      </c>
      <c r="X2" s="119" t="str">
        <f ca="1">IFERROR(__xludf.DUMMYFUNCTION("""COMPUTED_VALUE"""),"N")</f>
        <v>N</v>
      </c>
      <c r="Y2" s="119" t="str">
        <f ca="1">IFERROR(__xludf.DUMMYFUNCTION("""COMPUTED_VALUE"""),"N")</f>
        <v>N</v>
      </c>
      <c r="Z2" s="119" t="str">
        <f ca="1">IFERROR(__xludf.DUMMYFUNCTION("""COMPUTED_VALUE"""),"M")</f>
        <v>M</v>
      </c>
      <c r="AA2" s="119" t="str">
        <f ca="1">IFERROR(__xludf.DUMMYFUNCTION("""COMPUTED_VALUE"""),"M")</f>
        <v>M</v>
      </c>
    </row>
    <row r="3" spans="1:27" ht="12.75" x14ac:dyDescent="0.2">
      <c r="A3" s="165"/>
      <c r="B3" s="120" t="str">
        <f ca="1">IFERROR(__xludf.DUMMYFUNCTION("""COMPUTED_VALUE"""),"Vrkoč Zdeněk")</f>
        <v>Vrkoč Zdeněk</v>
      </c>
      <c r="C3" s="121" t="str">
        <f ca="1">IFERROR(__xludf.DUMMYFUNCTION("""COMPUTED_VALUE"""),"TJ Sokol Niové Veselí")</f>
        <v>TJ Sokol Niové Veselí</v>
      </c>
      <c r="D3" s="122">
        <f ca="1">IFERROR(__xludf.DUMMYFUNCTION("""COMPUTED_VALUE"""),151)</f>
        <v>151</v>
      </c>
      <c r="E3" s="123">
        <f ca="1">IFERROR(__xludf.DUMMYFUNCTION("""COMPUTED_VALUE"""),68)</f>
        <v>68</v>
      </c>
      <c r="F3" s="123">
        <f ca="1">IFERROR(__xludf.DUMMYFUNCTION("""COMPUTED_VALUE"""),2)</f>
        <v>2</v>
      </c>
      <c r="G3" s="124">
        <f ca="1">IFERROR(__xludf.DUMMYFUNCTION("""COMPUTED_VALUE"""),219)</f>
        <v>219</v>
      </c>
      <c r="H3" s="122">
        <f ca="1">IFERROR(__xludf.DUMMYFUNCTION("""COMPUTED_VALUE"""),152)</f>
        <v>152</v>
      </c>
      <c r="I3" s="123">
        <f ca="1">IFERROR(__xludf.DUMMYFUNCTION("""COMPUTED_VALUE"""),72)</f>
        <v>72</v>
      </c>
      <c r="J3" s="123">
        <f ca="1">IFERROR(__xludf.DUMMYFUNCTION("""COMPUTED_VALUE"""),4)</f>
        <v>4</v>
      </c>
      <c r="K3" s="124">
        <f ca="1">IFERROR(__xludf.DUMMYFUNCTION("""COMPUTED_VALUE"""),224)</f>
        <v>224</v>
      </c>
      <c r="L3" s="123">
        <f ca="1">IFERROR(__xludf.DUMMYFUNCTION("""COMPUTED_VALUE"""),303)</f>
        <v>303</v>
      </c>
      <c r="M3" s="123">
        <f ca="1">IFERROR(__xludf.DUMMYFUNCTION("""COMPUTED_VALUE"""),140)</f>
        <v>140</v>
      </c>
      <c r="N3" s="123">
        <f ca="1">IFERROR(__xludf.DUMMYFUNCTION("""COMPUTED_VALUE"""),6)</f>
        <v>6</v>
      </c>
      <c r="O3" s="124">
        <f ca="1">IFERROR(__xludf.DUMMYFUNCTION("""COMPUTED_VALUE"""),443)</f>
        <v>443</v>
      </c>
      <c r="P3" s="123">
        <f ca="1">IFERROR(__xludf.DUMMYFUNCTION("""COMPUTED_VALUE"""),858)</f>
        <v>858</v>
      </c>
      <c r="Q3" s="165"/>
      <c r="R3" s="159"/>
      <c r="S3" s="159"/>
      <c r="T3" s="125">
        <f ca="1">IFERROR(__xludf.DUMMYFUNCTION("""COMPUTED_VALUE"""),270)</f>
        <v>270</v>
      </c>
      <c r="U3" s="125">
        <f ca="1">IFERROR(__xludf.DUMMYFUNCTION("""COMPUTED_VALUE"""),14)</f>
        <v>14</v>
      </c>
      <c r="V3" s="159"/>
      <c r="W3" s="126" t="str">
        <f ca="1">IFERROR(__xludf.DUMMYFUNCTION("""COMPUTED_VALUE"""),"Š")</f>
        <v>Š</v>
      </c>
      <c r="X3" s="126" t="str">
        <f ca="1">IFERROR(__xludf.DUMMYFUNCTION("""COMPUTED_VALUE"""),"N")</f>
        <v>N</v>
      </c>
      <c r="Y3" s="126" t="str">
        <f ca="1">IFERROR(__xludf.DUMMYFUNCTION("""COMPUTED_VALUE"""),"N")</f>
        <v>N</v>
      </c>
      <c r="Z3" s="126" t="str">
        <f ca="1">IFERROR(__xludf.DUMMYFUNCTION("""COMPUTED_VALUE"""),"M")</f>
        <v>M</v>
      </c>
      <c r="AA3" s="119" t="str">
        <f ca="1">IFERROR(__xludf.DUMMYFUNCTION("""COMPUTED_VALUE"""),"M")</f>
        <v>M</v>
      </c>
    </row>
    <row r="4" spans="1:27" ht="12.75" x14ac:dyDescent="0.2">
      <c r="A4" s="172">
        <v>2</v>
      </c>
      <c r="B4" s="127" t="str">
        <f ca="1">IFERROR(__xludf.DUMMYFUNCTION("""COMPUTED_VALUE"""),"Jindra Patrik")</f>
        <v>Jindra Patrik</v>
      </c>
      <c r="C4" s="128" t="str">
        <f ca="1">IFERROR(__xludf.DUMMYFUNCTION("""COMPUTED_VALUE"""),"Pacoši Slavonice")</f>
        <v>Pacoši Slavonice</v>
      </c>
      <c r="D4" s="129">
        <f ca="1">IFERROR(__xludf.DUMMYFUNCTION("""COMPUTED_VALUE"""),147)</f>
        <v>147</v>
      </c>
      <c r="E4" s="130">
        <f ca="1">IFERROR(__xludf.DUMMYFUNCTION("""COMPUTED_VALUE"""),70)</f>
        <v>70</v>
      </c>
      <c r="F4" s="130">
        <f ca="1">IFERROR(__xludf.DUMMYFUNCTION("""COMPUTED_VALUE"""),1)</f>
        <v>1</v>
      </c>
      <c r="G4" s="131">
        <f ca="1">IFERROR(__xludf.DUMMYFUNCTION("""COMPUTED_VALUE"""),217)</f>
        <v>217</v>
      </c>
      <c r="H4" s="129">
        <f ca="1">IFERROR(__xludf.DUMMYFUNCTION("""COMPUTED_VALUE"""),141)</f>
        <v>141</v>
      </c>
      <c r="I4" s="130">
        <f ca="1">IFERROR(__xludf.DUMMYFUNCTION("""COMPUTED_VALUE"""),62)</f>
        <v>62</v>
      </c>
      <c r="J4" s="130">
        <f ca="1">IFERROR(__xludf.DUMMYFUNCTION("""COMPUTED_VALUE"""),2)</f>
        <v>2</v>
      </c>
      <c r="K4" s="131">
        <f ca="1">IFERROR(__xludf.DUMMYFUNCTION("""COMPUTED_VALUE"""),203)</f>
        <v>203</v>
      </c>
      <c r="L4" s="130">
        <f ca="1">IFERROR(__xludf.DUMMYFUNCTION("""COMPUTED_VALUE"""),288)</f>
        <v>288</v>
      </c>
      <c r="M4" s="130">
        <f ca="1">IFERROR(__xludf.DUMMYFUNCTION("""COMPUTED_VALUE"""),132)</f>
        <v>132</v>
      </c>
      <c r="N4" s="130">
        <f ca="1">IFERROR(__xludf.DUMMYFUNCTION("""COMPUTED_VALUE"""),3)</f>
        <v>3</v>
      </c>
      <c r="O4" s="131">
        <f ca="1">IFERROR(__xludf.DUMMYFUNCTION("""COMPUTED_VALUE"""),420)</f>
        <v>420</v>
      </c>
      <c r="P4" s="132">
        <f ca="1">IFERROR(__xludf.DUMMYFUNCTION("""COMPUTED_VALUE"""),799)</f>
        <v>799</v>
      </c>
      <c r="Q4" s="173">
        <f ca="1">IFERROR(__xludf.DUMMYFUNCTION("""COMPUTED_VALUE"""),799)</f>
        <v>799</v>
      </c>
      <c r="R4" s="174">
        <f ca="1">IFERROR(__xludf.DUMMYFUNCTION("""COMPUTED_VALUE"""),248)</f>
        <v>248</v>
      </c>
      <c r="S4" s="174">
        <f ca="1">IFERROR(__xludf.DUMMYFUNCTION("""COMPUTED_VALUE"""),11)</f>
        <v>11</v>
      </c>
      <c r="T4" s="133">
        <f ca="1">IFERROR(__xludf.DUMMYFUNCTION("""COMPUTED_VALUE"""),248)</f>
        <v>248</v>
      </c>
      <c r="U4" s="133">
        <f ca="1">IFERROR(__xludf.DUMMYFUNCTION("""COMPUTED_VALUE"""),11)</f>
        <v>11</v>
      </c>
      <c r="V4" s="175" t="str">
        <f ca="1">IFERROR(__xludf.DUMMYFUNCTION("""COMPUTED_VALUE"""),"TV")</f>
        <v>TV</v>
      </c>
      <c r="W4" s="8" t="str">
        <f ca="1">IFERROR(__xludf.DUMMYFUNCTION("""COMPUTED_VALUE"""),"TV")</f>
        <v>TV</v>
      </c>
      <c r="X4" s="8" t="str">
        <f ca="1">IFERROR(__xludf.DUMMYFUNCTION("""COMPUTED_VALUE"""),"N")</f>
        <v>N</v>
      </c>
      <c r="Y4" s="8" t="str">
        <f ca="1">IFERROR(__xludf.DUMMYFUNCTION("""COMPUTED_VALUE"""),"N")</f>
        <v>N</v>
      </c>
      <c r="Z4" s="8" t="str">
        <f ca="1">IFERROR(__xludf.DUMMYFUNCTION("""COMPUTED_VALUE"""),"M")</f>
        <v>M</v>
      </c>
      <c r="AA4" s="8" t="str">
        <f ca="1">IFERROR(__xludf.DUMMYFUNCTION("""COMPUTED_VALUE"""),"M")</f>
        <v>M</v>
      </c>
    </row>
    <row r="5" spans="1:27" ht="12.75" x14ac:dyDescent="0.2">
      <c r="A5" s="165"/>
      <c r="B5" s="134" t="str">
        <f ca="1">IFERROR(__xludf.DUMMYFUNCTION("""COMPUTED_VALUE"""),"Filip Libor")</f>
        <v>Filip Libor</v>
      </c>
      <c r="C5" s="135" t="str">
        <f ca="1">IFERROR(__xludf.DUMMYFUNCTION("""COMPUTED_VALUE"""),"Komenda Náchod")</f>
        <v>Komenda Náchod</v>
      </c>
      <c r="D5" s="136">
        <f ca="1">IFERROR(__xludf.DUMMYFUNCTION("""COMPUTED_VALUE"""),144)</f>
        <v>144</v>
      </c>
      <c r="E5" s="137">
        <f ca="1">IFERROR(__xludf.DUMMYFUNCTION("""COMPUTED_VALUE"""),78)</f>
        <v>78</v>
      </c>
      <c r="F5" s="137">
        <f ca="1">IFERROR(__xludf.DUMMYFUNCTION("""COMPUTED_VALUE"""),2)</f>
        <v>2</v>
      </c>
      <c r="G5" s="138">
        <f ca="1">IFERROR(__xludf.DUMMYFUNCTION("""COMPUTED_VALUE"""),222)</f>
        <v>222</v>
      </c>
      <c r="H5" s="136">
        <f ca="1">IFERROR(__xludf.DUMMYFUNCTION("""COMPUTED_VALUE"""),152)</f>
        <v>152</v>
      </c>
      <c r="I5" s="137">
        <f ca="1">IFERROR(__xludf.DUMMYFUNCTION("""COMPUTED_VALUE"""),45)</f>
        <v>45</v>
      </c>
      <c r="J5" s="137">
        <f ca="1">IFERROR(__xludf.DUMMYFUNCTION("""COMPUTED_VALUE"""),6)</f>
        <v>6</v>
      </c>
      <c r="K5" s="138">
        <f ca="1">IFERROR(__xludf.DUMMYFUNCTION("""COMPUTED_VALUE"""),197)</f>
        <v>197</v>
      </c>
      <c r="L5" s="137">
        <f ca="1">IFERROR(__xludf.DUMMYFUNCTION("""COMPUTED_VALUE"""),296)</f>
        <v>296</v>
      </c>
      <c r="M5" s="137">
        <f ca="1">IFERROR(__xludf.DUMMYFUNCTION("""COMPUTED_VALUE"""),123)</f>
        <v>123</v>
      </c>
      <c r="N5" s="137">
        <f ca="1">IFERROR(__xludf.DUMMYFUNCTION("""COMPUTED_VALUE"""),8)</f>
        <v>8</v>
      </c>
      <c r="O5" s="138">
        <f ca="1">IFERROR(__xludf.DUMMYFUNCTION("""COMPUTED_VALUE"""),419)</f>
        <v>419</v>
      </c>
      <c r="P5" s="139">
        <f ca="1">IFERROR(__xludf.DUMMYFUNCTION("""COMPUTED_VALUE"""),784)</f>
        <v>784</v>
      </c>
      <c r="Q5" s="165"/>
      <c r="R5" s="159"/>
      <c r="S5" s="159"/>
      <c r="T5" s="140">
        <f ca="1">IFERROR(__xludf.DUMMYFUNCTION("""COMPUTED_VALUE"""),218)</f>
        <v>218</v>
      </c>
      <c r="U5" s="140">
        <f ca="1">IFERROR(__xludf.DUMMYFUNCTION("""COMPUTED_VALUE"""),18)</f>
        <v>18</v>
      </c>
      <c r="V5" s="159"/>
      <c r="W5" s="141" t="str">
        <f ca="1">IFERROR(__xludf.DUMMYFUNCTION("""COMPUTED_VALUE"""),"Š")</f>
        <v>Š</v>
      </c>
      <c r="X5" s="141" t="str">
        <f ca="1">IFERROR(__xludf.DUMMYFUNCTION("""COMPUTED_VALUE"""),"N")</f>
        <v>N</v>
      </c>
      <c r="Y5" s="141" t="str">
        <f ca="1">IFERROR(__xludf.DUMMYFUNCTION("""COMPUTED_VALUE"""),"N")</f>
        <v>N</v>
      </c>
      <c r="Z5" s="141" t="str">
        <f ca="1">IFERROR(__xludf.DUMMYFUNCTION("""COMPUTED_VALUE"""),"M")</f>
        <v>M</v>
      </c>
      <c r="AA5" s="8" t="str">
        <f ca="1">IFERROR(__xludf.DUMMYFUNCTION("""COMPUTED_VALUE"""),"M")</f>
        <v>M</v>
      </c>
    </row>
    <row r="6" spans="1:27" ht="12.75" x14ac:dyDescent="0.2">
      <c r="A6" s="172">
        <v>3</v>
      </c>
      <c r="B6" s="127" t="str">
        <f ca="1">IFERROR(__xludf.DUMMYFUNCTION("""COMPUTED_VALUE"""),"Skryja Jakub")</f>
        <v>Skryja Jakub</v>
      </c>
      <c r="C6" s="128" t="str">
        <f ca="1">IFERROR(__xludf.DUMMYFUNCTION("""COMPUTED_VALUE"""),"Nové Město na Moravě")</f>
        <v>Nové Město na Moravě</v>
      </c>
      <c r="D6" s="129">
        <f ca="1">IFERROR(__xludf.DUMMYFUNCTION("""COMPUTED_VALUE"""),136)</f>
        <v>136</v>
      </c>
      <c r="E6" s="130">
        <f ca="1">IFERROR(__xludf.DUMMYFUNCTION("""COMPUTED_VALUE"""),51)</f>
        <v>51</v>
      </c>
      <c r="F6" s="130">
        <f ca="1">IFERROR(__xludf.DUMMYFUNCTION("""COMPUTED_VALUE"""),4)</f>
        <v>4</v>
      </c>
      <c r="G6" s="131">
        <f ca="1">IFERROR(__xludf.DUMMYFUNCTION("""COMPUTED_VALUE"""),187)</f>
        <v>187</v>
      </c>
      <c r="H6" s="129">
        <f ca="1">IFERROR(__xludf.DUMMYFUNCTION("""COMPUTED_VALUE"""),140)</f>
        <v>140</v>
      </c>
      <c r="I6" s="130">
        <f ca="1">IFERROR(__xludf.DUMMYFUNCTION("""COMPUTED_VALUE"""),60)</f>
        <v>60</v>
      </c>
      <c r="J6" s="130">
        <f ca="1">IFERROR(__xludf.DUMMYFUNCTION("""COMPUTED_VALUE"""),5)</f>
        <v>5</v>
      </c>
      <c r="K6" s="131">
        <f ca="1">IFERROR(__xludf.DUMMYFUNCTION("""COMPUTED_VALUE"""),200)</f>
        <v>200</v>
      </c>
      <c r="L6" s="130">
        <f ca="1">IFERROR(__xludf.DUMMYFUNCTION("""COMPUTED_VALUE"""),276)</f>
        <v>276</v>
      </c>
      <c r="M6" s="130">
        <f ca="1">IFERROR(__xludf.DUMMYFUNCTION("""COMPUTED_VALUE"""),111)</f>
        <v>111</v>
      </c>
      <c r="N6" s="130">
        <f ca="1">IFERROR(__xludf.DUMMYFUNCTION("""COMPUTED_VALUE"""),9)</f>
        <v>9</v>
      </c>
      <c r="O6" s="131">
        <f ca="1">IFERROR(__xludf.DUMMYFUNCTION("""COMPUTED_VALUE"""),387)</f>
        <v>387</v>
      </c>
      <c r="P6" s="132">
        <f ca="1">IFERROR(__xludf.DUMMYFUNCTION("""COMPUTED_VALUE"""),783)</f>
        <v>783</v>
      </c>
      <c r="Q6" s="173">
        <f ca="1">IFERROR(__xludf.DUMMYFUNCTION("""COMPUTED_VALUE"""),783)</f>
        <v>783</v>
      </c>
      <c r="R6" s="174">
        <f ca="1">IFERROR(__xludf.DUMMYFUNCTION("""COMPUTED_VALUE"""),241)</f>
        <v>241</v>
      </c>
      <c r="S6" s="174">
        <f ca="1">IFERROR(__xludf.DUMMYFUNCTION("""COMPUTED_VALUE"""),15)</f>
        <v>15</v>
      </c>
      <c r="T6" s="133">
        <f ca="1">IFERROR(__xludf.DUMMYFUNCTION("""COMPUTED_VALUE"""),241)</f>
        <v>241</v>
      </c>
      <c r="U6" s="133">
        <f ca="1">IFERROR(__xludf.DUMMYFUNCTION("""COMPUTED_VALUE"""),15)</f>
        <v>15</v>
      </c>
      <c r="V6" s="175" t="str">
        <f ca="1">IFERROR(__xludf.DUMMYFUNCTION("""COMPUTED_VALUE"""),"Š")</f>
        <v>Š</v>
      </c>
      <c r="W6" s="8" t="str">
        <f ca="1">IFERROR(__xludf.DUMMYFUNCTION("""COMPUTED_VALUE"""),"Š")</f>
        <v>Š</v>
      </c>
      <c r="X6" s="8" t="str">
        <f ca="1">IFERROR(__xludf.DUMMYFUNCTION("""COMPUTED_VALUE"""),"N")</f>
        <v>N</v>
      </c>
      <c r="Y6" s="8" t="str">
        <f ca="1">IFERROR(__xludf.DUMMYFUNCTION("""COMPUTED_VALUE"""),"N")</f>
        <v>N</v>
      </c>
      <c r="Z6" s="8" t="str">
        <f ca="1">IFERROR(__xludf.DUMMYFUNCTION("""COMPUTED_VALUE"""),"M")</f>
        <v>M</v>
      </c>
      <c r="AA6" s="8" t="str">
        <f ca="1">IFERROR(__xludf.DUMMYFUNCTION("""COMPUTED_VALUE"""),"M")</f>
        <v>M</v>
      </c>
    </row>
    <row r="7" spans="1:27" ht="12.75" x14ac:dyDescent="0.2">
      <c r="A7" s="165"/>
      <c r="B7" s="134" t="str">
        <f ca="1">IFERROR(__xludf.DUMMYFUNCTION("""COMPUTED_VALUE"""),"Vavera David")</f>
        <v>Vavera David</v>
      </c>
      <c r="C7" s="135" t="str">
        <f ca="1">IFERROR(__xludf.DUMMYFUNCTION("""COMPUTED_VALUE"""),"TJ Sokol Niové Veselí")</f>
        <v>TJ Sokol Niové Veselí</v>
      </c>
      <c r="D7" s="136">
        <f ca="1">IFERROR(__xludf.DUMMYFUNCTION("""COMPUTED_VALUE"""),135)</f>
        <v>135</v>
      </c>
      <c r="E7" s="137">
        <f ca="1">IFERROR(__xludf.DUMMYFUNCTION("""COMPUTED_VALUE"""),62)</f>
        <v>62</v>
      </c>
      <c r="F7" s="137">
        <f ca="1">IFERROR(__xludf.DUMMYFUNCTION("""COMPUTED_VALUE"""),4)</f>
        <v>4</v>
      </c>
      <c r="G7" s="138">
        <f ca="1">IFERROR(__xludf.DUMMYFUNCTION("""COMPUTED_VALUE"""),197)</f>
        <v>197</v>
      </c>
      <c r="H7" s="136">
        <f ca="1">IFERROR(__xludf.DUMMYFUNCTION("""COMPUTED_VALUE"""),135)</f>
        <v>135</v>
      </c>
      <c r="I7" s="137">
        <f ca="1">IFERROR(__xludf.DUMMYFUNCTION("""COMPUTED_VALUE"""),52)</f>
        <v>52</v>
      </c>
      <c r="J7" s="137">
        <f ca="1">IFERROR(__xludf.DUMMYFUNCTION("""COMPUTED_VALUE"""),5)</f>
        <v>5</v>
      </c>
      <c r="K7" s="138">
        <f ca="1">IFERROR(__xludf.DUMMYFUNCTION("""COMPUTED_VALUE"""),187)</f>
        <v>187</v>
      </c>
      <c r="L7" s="137">
        <f ca="1">IFERROR(__xludf.DUMMYFUNCTION("""COMPUTED_VALUE"""),270)</f>
        <v>270</v>
      </c>
      <c r="M7" s="137">
        <f ca="1">IFERROR(__xludf.DUMMYFUNCTION("""COMPUTED_VALUE"""),114)</f>
        <v>114</v>
      </c>
      <c r="N7" s="137">
        <f ca="1">IFERROR(__xludf.DUMMYFUNCTION("""COMPUTED_VALUE"""),9)</f>
        <v>9</v>
      </c>
      <c r="O7" s="138">
        <f ca="1">IFERROR(__xludf.DUMMYFUNCTION("""COMPUTED_VALUE"""),384)</f>
        <v>384</v>
      </c>
      <c r="P7" s="139">
        <f ca="1">IFERROR(__xludf.DUMMYFUNCTION("""COMPUTED_VALUE"""),771)</f>
        <v>771</v>
      </c>
      <c r="Q7" s="165"/>
      <c r="R7" s="159"/>
      <c r="S7" s="159"/>
      <c r="T7" s="140">
        <f ca="1">IFERROR(__xludf.DUMMYFUNCTION("""COMPUTED_VALUE"""),223)</f>
        <v>223</v>
      </c>
      <c r="U7" s="140">
        <f ca="1">IFERROR(__xludf.DUMMYFUNCTION("""COMPUTED_VALUE"""),19)</f>
        <v>19</v>
      </c>
      <c r="V7" s="159"/>
      <c r="W7" s="141" t="str">
        <f ca="1">IFERROR(__xludf.DUMMYFUNCTION("""COMPUTED_VALUE"""),"Š")</f>
        <v>Š</v>
      </c>
      <c r="X7" s="141" t="str">
        <f ca="1">IFERROR(__xludf.DUMMYFUNCTION("""COMPUTED_VALUE"""),"N")</f>
        <v>N</v>
      </c>
      <c r="Y7" s="141" t="str">
        <f ca="1">IFERROR(__xludf.DUMMYFUNCTION("""COMPUTED_VALUE"""),"N")</f>
        <v>N</v>
      </c>
      <c r="Z7" s="141" t="str">
        <f ca="1">IFERROR(__xludf.DUMMYFUNCTION("""COMPUTED_VALUE"""),"M")</f>
        <v>M</v>
      </c>
      <c r="AA7" s="8" t="str">
        <f ca="1">IFERROR(__xludf.DUMMYFUNCTION("""COMPUTED_VALUE"""),"M")</f>
        <v>M</v>
      </c>
    </row>
    <row r="8" spans="1:27" ht="12.75" x14ac:dyDescent="0.2">
      <c r="A8" s="172">
        <v>4</v>
      </c>
      <c r="B8" s="127" t="str">
        <f ca="1">IFERROR(__xludf.DUMMYFUNCTION("""COMPUTED_VALUE"""),"Kupka Petr")</f>
        <v>Kupka Petr</v>
      </c>
      <c r="C8" s="128" t="str">
        <f ca="1">IFERROR(__xludf.DUMMYFUNCTION("""COMPUTED_VALUE"""),"Za Vodou")</f>
        <v>Za Vodou</v>
      </c>
      <c r="D8" s="129">
        <f ca="1">IFERROR(__xludf.DUMMYFUNCTION("""COMPUTED_VALUE"""),138)</f>
        <v>138</v>
      </c>
      <c r="E8" s="130">
        <f ca="1">IFERROR(__xludf.DUMMYFUNCTION("""COMPUTED_VALUE"""),52)</f>
        <v>52</v>
      </c>
      <c r="F8" s="130">
        <f ca="1">IFERROR(__xludf.DUMMYFUNCTION("""COMPUTED_VALUE"""),3)</f>
        <v>3</v>
      </c>
      <c r="G8" s="131">
        <f ca="1">IFERROR(__xludf.DUMMYFUNCTION("""COMPUTED_VALUE"""),190)</f>
        <v>190</v>
      </c>
      <c r="H8" s="129">
        <f ca="1">IFERROR(__xludf.DUMMYFUNCTION("""COMPUTED_VALUE"""),143)</f>
        <v>143</v>
      </c>
      <c r="I8" s="130">
        <f ca="1">IFERROR(__xludf.DUMMYFUNCTION("""COMPUTED_VALUE"""),63)</f>
        <v>63</v>
      </c>
      <c r="J8" s="130">
        <f ca="1">IFERROR(__xludf.DUMMYFUNCTION("""COMPUTED_VALUE"""),2)</f>
        <v>2</v>
      </c>
      <c r="K8" s="131">
        <f ca="1">IFERROR(__xludf.DUMMYFUNCTION("""COMPUTED_VALUE"""),206)</f>
        <v>206</v>
      </c>
      <c r="L8" s="130">
        <f ca="1">IFERROR(__xludf.DUMMYFUNCTION("""COMPUTED_VALUE"""),281)</f>
        <v>281</v>
      </c>
      <c r="M8" s="130">
        <f ca="1">IFERROR(__xludf.DUMMYFUNCTION("""COMPUTED_VALUE"""),115)</f>
        <v>115</v>
      </c>
      <c r="N8" s="130">
        <f ca="1">IFERROR(__xludf.DUMMYFUNCTION("""COMPUTED_VALUE"""),5)</f>
        <v>5</v>
      </c>
      <c r="O8" s="131">
        <f ca="1">IFERROR(__xludf.DUMMYFUNCTION("""COMPUTED_VALUE"""),396)</f>
        <v>396</v>
      </c>
      <c r="P8" s="132">
        <f ca="1">IFERROR(__xludf.DUMMYFUNCTION("""COMPUTED_VALUE"""),770)</f>
        <v>770</v>
      </c>
      <c r="Q8" s="173">
        <f ca="1">IFERROR(__xludf.DUMMYFUNCTION("""COMPUTED_VALUE"""),770)</f>
        <v>770</v>
      </c>
      <c r="R8" s="174">
        <f ca="1">IFERROR(__xludf.DUMMYFUNCTION("""COMPUTED_VALUE"""),223)</f>
        <v>223</v>
      </c>
      <c r="S8" s="174">
        <f ca="1">IFERROR(__xludf.DUMMYFUNCTION("""COMPUTED_VALUE"""),10)</f>
        <v>10</v>
      </c>
      <c r="T8" s="133">
        <f ca="1">IFERROR(__xludf.DUMMYFUNCTION("""COMPUTED_VALUE"""),223)</f>
        <v>223</v>
      </c>
      <c r="U8" s="133">
        <f ca="1">IFERROR(__xludf.DUMMYFUNCTION("""COMPUTED_VALUE"""),10)</f>
        <v>10</v>
      </c>
      <c r="V8" s="175" t="str">
        <f ca="1">IFERROR(__xludf.DUMMYFUNCTION("""COMPUTED_VALUE"""),"Š")</f>
        <v>Š</v>
      </c>
      <c r="W8" s="8" t="str">
        <f ca="1">IFERROR(__xludf.DUMMYFUNCTION("""COMPUTED_VALUE"""),"Š")</f>
        <v>Š</v>
      </c>
      <c r="X8" s="8" t="str">
        <f ca="1">IFERROR(__xludf.DUMMYFUNCTION("""COMPUTED_VALUE"""),"N")</f>
        <v>N</v>
      </c>
      <c r="Y8" s="8" t="str">
        <f ca="1">IFERROR(__xludf.DUMMYFUNCTION("""COMPUTED_VALUE"""),"N")</f>
        <v>N</v>
      </c>
      <c r="Z8" s="8" t="str">
        <f ca="1">IFERROR(__xludf.DUMMYFUNCTION("""COMPUTED_VALUE"""),"M")</f>
        <v>M</v>
      </c>
      <c r="AA8" s="8" t="str">
        <f ca="1">IFERROR(__xludf.DUMMYFUNCTION("""COMPUTED_VALUE"""),"M")</f>
        <v>M</v>
      </c>
    </row>
    <row r="9" spans="1:27" ht="12.75" x14ac:dyDescent="0.2">
      <c r="A9" s="165"/>
      <c r="B9" s="134" t="str">
        <f ca="1">IFERROR(__xludf.DUMMYFUNCTION("""COMPUTED_VALUE"""),"Heisig Rudolf")</f>
        <v>Heisig Rudolf</v>
      </c>
      <c r="C9" s="135" t="str">
        <f ca="1">IFERROR(__xludf.DUMMYFUNCTION("""COMPUTED_VALUE"""),"Marodi Rýmařov")</f>
        <v>Marodi Rýmařov</v>
      </c>
      <c r="D9" s="136">
        <f ca="1">IFERROR(__xludf.DUMMYFUNCTION("""COMPUTED_VALUE"""),128)</f>
        <v>128</v>
      </c>
      <c r="E9" s="137">
        <f ca="1">IFERROR(__xludf.DUMMYFUNCTION("""COMPUTED_VALUE"""),51)</f>
        <v>51</v>
      </c>
      <c r="F9" s="137">
        <f ca="1">IFERROR(__xludf.DUMMYFUNCTION("""COMPUTED_VALUE"""),8)</f>
        <v>8</v>
      </c>
      <c r="G9" s="138">
        <f ca="1">IFERROR(__xludf.DUMMYFUNCTION("""COMPUTED_VALUE"""),179)</f>
        <v>179</v>
      </c>
      <c r="H9" s="136">
        <f ca="1">IFERROR(__xludf.DUMMYFUNCTION("""COMPUTED_VALUE"""),148)</f>
        <v>148</v>
      </c>
      <c r="I9" s="137">
        <f ca="1">IFERROR(__xludf.DUMMYFUNCTION("""COMPUTED_VALUE"""),36)</f>
        <v>36</v>
      </c>
      <c r="J9" s="137">
        <f ca="1">IFERROR(__xludf.DUMMYFUNCTION("""COMPUTED_VALUE"""),7)</f>
        <v>7</v>
      </c>
      <c r="K9" s="138">
        <f ca="1">IFERROR(__xludf.DUMMYFUNCTION("""COMPUTED_VALUE"""),184)</f>
        <v>184</v>
      </c>
      <c r="L9" s="137">
        <f ca="1">IFERROR(__xludf.DUMMYFUNCTION("""COMPUTED_VALUE"""),276)</f>
        <v>276</v>
      </c>
      <c r="M9" s="137">
        <f ca="1">IFERROR(__xludf.DUMMYFUNCTION("""COMPUTED_VALUE"""),87)</f>
        <v>87</v>
      </c>
      <c r="N9" s="137">
        <f ca="1">IFERROR(__xludf.DUMMYFUNCTION("""COMPUTED_VALUE"""),15)</f>
        <v>15</v>
      </c>
      <c r="O9" s="138">
        <f ca="1">IFERROR(__xludf.DUMMYFUNCTION("""COMPUTED_VALUE"""),363)</f>
        <v>363</v>
      </c>
      <c r="P9" s="139">
        <f ca="1">IFERROR(__xludf.DUMMYFUNCTION("""COMPUTED_VALUE"""),741)</f>
        <v>741</v>
      </c>
      <c r="Q9" s="165"/>
      <c r="R9" s="159"/>
      <c r="S9" s="159"/>
      <c r="T9" s="140">
        <f ca="1">IFERROR(__xludf.DUMMYFUNCTION("""COMPUTED_VALUE"""),201)</f>
        <v>201</v>
      </c>
      <c r="U9" s="140">
        <f ca="1">IFERROR(__xludf.DUMMYFUNCTION("""COMPUTED_VALUE"""),25)</f>
        <v>25</v>
      </c>
      <c r="V9" s="159"/>
      <c r="W9" s="141" t="str">
        <f ca="1">IFERROR(__xludf.DUMMYFUNCTION("""COMPUTED_VALUE"""),"Š")</f>
        <v>Š</v>
      </c>
      <c r="X9" s="141" t="str">
        <f ca="1">IFERROR(__xludf.DUMMYFUNCTION("""COMPUTED_VALUE"""),"N")</f>
        <v>N</v>
      </c>
      <c r="Y9" s="141" t="str">
        <f ca="1">IFERROR(__xludf.DUMMYFUNCTION("""COMPUTED_VALUE"""),"N")</f>
        <v>N</v>
      </c>
      <c r="Z9" s="141" t="str">
        <f ca="1">IFERROR(__xludf.DUMMYFUNCTION("""COMPUTED_VALUE"""),"S")</f>
        <v>S</v>
      </c>
      <c r="AA9" s="8" t="str">
        <f ca="1">IFERROR(__xludf.DUMMYFUNCTION("""COMPUTED_VALUE"""),"S")</f>
        <v>S</v>
      </c>
    </row>
    <row r="10" spans="1:27" ht="12.75" x14ac:dyDescent="0.2">
      <c r="A10" s="172">
        <v>5</v>
      </c>
      <c r="B10" s="127" t="str">
        <f ca="1">IFERROR(__xludf.DUMMYFUNCTION("""COMPUTED_VALUE"""),"Lovíšek Jozef")</f>
        <v>Lovíšek Jozef</v>
      </c>
      <c r="C10" s="128" t="str">
        <f ca="1">IFERROR(__xludf.DUMMYFUNCTION("""COMPUTED_VALUE"""),"Příbram")</f>
        <v>Příbram</v>
      </c>
      <c r="D10" s="129">
        <f ca="1">IFERROR(__xludf.DUMMYFUNCTION("""COMPUTED_VALUE"""),124)</f>
        <v>124</v>
      </c>
      <c r="E10" s="130">
        <f ca="1">IFERROR(__xludf.DUMMYFUNCTION("""COMPUTED_VALUE"""),44)</f>
        <v>44</v>
      </c>
      <c r="F10" s="130">
        <f ca="1">IFERROR(__xludf.DUMMYFUNCTION("""COMPUTED_VALUE"""),8)</f>
        <v>8</v>
      </c>
      <c r="G10" s="131">
        <f ca="1">IFERROR(__xludf.DUMMYFUNCTION("""COMPUTED_VALUE"""),168)</f>
        <v>168</v>
      </c>
      <c r="H10" s="129">
        <f ca="1">IFERROR(__xludf.DUMMYFUNCTION("""COMPUTED_VALUE"""),130)</f>
        <v>130</v>
      </c>
      <c r="I10" s="130">
        <f ca="1">IFERROR(__xludf.DUMMYFUNCTION("""COMPUTED_VALUE"""),71)</f>
        <v>71</v>
      </c>
      <c r="J10" s="130">
        <f ca="1">IFERROR(__xludf.DUMMYFUNCTION("""COMPUTED_VALUE"""),3)</f>
        <v>3</v>
      </c>
      <c r="K10" s="131">
        <f ca="1">IFERROR(__xludf.DUMMYFUNCTION("""COMPUTED_VALUE"""),201)</f>
        <v>201</v>
      </c>
      <c r="L10" s="130">
        <f ca="1">IFERROR(__xludf.DUMMYFUNCTION("""COMPUTED_VALUE"""),254)</f>
        <v>254</v>
      </c>
      <c r="M10" s="130">
        <f ca="1">IFERROR(__xludf.DUMMYFUNCTION("""COMPUTED_VALUE"""),115)</f>
        <v>115</v>
      </c>
      <c r="N10" s="130">
        <f ca="1">IFERROR(__xludf.DUMMYFUNCTION("""COMPUTED_VALUE"""),11)</f>
        <v>11</v>
      </c>
      <c r="O10" s="131">
        <f ca="1">IFERROR(__xludf.DUMMYFUNCTION("""COMPUTED_VALUE"""),369)</f>
        <v>369</v>
      </c>
      <c r="P10" s="132">
        <f ca="1">IFERROR(__xludf.DUMMYFUNCTION("""COMPUTED_VALUE"""),733)</f>
        <v>733</v>
      </c>
      <c r="Q10" s="173">
        <f ca="1">IFERROR(__xludf.DUMMYFUNCTION("""COMPUTED_VALUE"""),733)</f>
        <v>733</v>
      </c>
      <c r="R10" s="174">
        <f ca="1">IFERROR(__xludf.DUMMYFUNCTION("""COMPUTED_VALUE"""),222)</f>
        <v>222</v>
      </c>
      <c r="S10" s="174">
        <f ca="1">IFERROR(__xludf.DUMMYFUNCTION("""COMPUTED_VALUE"""),23)</f>
        <v>23</v>
      </c>
      <c r="T10" s="133">
        <f ca="1">IFERROR(__xludf.DUMMYFUNCTION("""COMPUTED_VALUE"""),222)</f>
        <v>222</v>
      </c>
      <c r="U10" s="133">
        <f ca="1">IFERROR(__xludf.DUMMYFUNCTION("""COMPUTED_VALUE"""),23)</f>
        <v>23</v>
      </c>
      <c r="V10" s="175" t="str">
        <f ca="1">IFERROR(__xludf.DUMMYFUNCTION("""COMPUTED_VALUE"""),"Š")</f>
        <v>Š</v>
      </c>
      <c r="W10" s="8" t="str">
        <f ca="1">IFERROR(__xludf.DUMMYFUNCTION("""COMPUTED_VALUE"""),"Š")</f>
        <v>Š</v>
      </c>
      <c r="X10" s="8" t="str">
        <f ca="1">IFERROR(__xludf.DUMMYFUNCTION("""COMPUTED_VALUE"""),"N")</f>
        <v>N</v>
      </c>
      <c r="Y10" s="8" t="str">
        <f ca="1">IFERROR(__xludf.DUMMYFUNCTION("""COMPUTED_VALUE"""),"N")</f>
        <v>N</v>
      </c>
      <c r="Z10" s="8" t="str">
        <f ca="1">IFERROR(__xludf.DUMMYFUNCTION("""COMPUTED_VALUE"""),"M")</f>
        <v>M</v>
      </c>
      <c r="AA10" s="8" t="str">
        <f ca="1">IFERROR(__xludf.DUMMYFUNCTION("""COMPUTED_VALUE"""),"M")</f>
        <v>M</v>
      </c>
    </row>
    <row r="11" spans="1:27" ht="12.75" x14ac:dyDescent="0.2">
      <c r="A11" s="165"/>
      <c r="B11" s="134" t="str">
        <f ca="1">IFERROR(__xludf.DUMMYFUNCTION("""COMPUTED_VALUE"""),"Mátl Jaroslav")</f>
        <v>Mátl Jaroslav</v>
      </c>
      <c r="C11" s="135" t="str">
        <f ca="1">IFERROR(__xludf.DUMMYFUNCTION("""COMPUTED_VALUE"""),"Velké Meziříčí")</f>
        <v>Velké Meziříčí</v>
      </c>
      <c r="D11" s="136">
        <f ca="1">IFERROR(__xludf.DUMMYFUNCTION("""COMPUTED_VALUE"""),132)</f>
        <v>132</v>
      </c>
      <c r="E11" s="137">
        <f ca="1">IFERROR(__xludf.DUMMYFUNCTION("""COMPUTED_VALUE"""),50)</f>
        <v>50</v>
      </c>
      <c r="F11" s="137">
        <f ca="1">IFERROR(__xludf.DUMMYFUNCTION("""COMPUTED_VALUE"""),6)</f>
        <v>6</v>
      </c>
      <c r="G11" s="138">
        <f ca="1">IFERROR(__xludf.DUMMYFUNCTION("""COMPUTED_VALUE"""),182)</f>
        <v>182</v>
      </c>
      <c r="H11" s="136">
        <f ca="1">IFERROR(__xludf.DUMMYFUNCTION("""COMPUTED_VALUE"""),141)</f>
        <v>141</v>
      </c>
      <c r="I11" s="137">
        <f ca="1">IFERROR(__xludf.DUMMYFUNCTION("""COMPUTED_VALUE"""),62)</f>
        <v>62</v>
      </c>
      <c r="J11" s="137">
        <f ca="1">IFERROR(__xludf.DUMMYFUNCTION("""COMPUTED_VALUE"""),3)</f>
        <v>3</v>
      </c>
      <c r="K11" s="138">
        <f ca="1">IFERROR(__xludf.DUMMYFUNCTION("""COMPUTED_VALUE"""),203)</f>
        <v>203</v>
      </c>
      <c r="L11" s="137">
        <f ca="1">IFERROR(__xludf.DUMMYFUNCTION("""COMPUTED_VALUE"""),273)</f>
        <v>273</v>
      </c>
      <c r="M11" s="137">
        <f ca="1">IFERROR(__xludf.DUMMYFUNCTION("""COMPUTED_VALUE"""),112)</f>
        <v>112</v>
      </c>
      <c r="N11" s="137">
        <f ca="1">IFERROR(__xludf.DUMMYFUNCTION("""COMPUTED_VALUE"""),9)</f>
        <v>9</v>
      </c>
      <c r="O11" s="138">
        <f ca="1">IFERROR(__xludf.DUMMYFUNCTION("""COMPUTED_VALUE"""),385)</f>
        <v>385</v>
      </c>
      <c r="P11" s="139">
        <f ca="1">IFERROR(__xludf.DUMMYFUNCTION("""COMPUTED_VALUE"""),729)</f>
        <v>729</v>
      </c>
      <c r="Q11" s="165"/>
      <c r="R11" s="159"/>
      <c r="S11" s="159"/>
      <c r="T11" s="140">
        <f ca="1">IFERROR(__xludf.DUMMYFUNCTION("""COMPUTED_VALUE"""),218)</f>
        <v>218</v>
      </c>
      <c r="U11" s="140">
        <f ca="1">IFERROR(__xludf.DUMMYFUNCTION("""COMPUTED_VALUE"""),18)</f>
        <v>18</v>
      </c>
      <c r="V11" s="159"/>
      <c r="W11" s="141" t="str">
        <f ca="1">IFERROR(__xludf.DUMMYFUNCTION("""COMPUTED_VALUE"""),"Š")</f>
        <v>Š</v>
      </c>
      <c r="X11" s="141" t="str">
        <f ca="1">IFERROR(__xludf.DUMMYFUNCTION("""COMPUTED_VALUE"""),"N")</f>
        <v>N</v>
      </c>
      <c r="Y11" s="141" t="str">
        <f ca="1">IFERROR(__xludf.DUMMYFUNCTION("""COMPUTED_VALUE"""),"N")</f>
        <v>N</v>
      </c>
      <c r="Z11" s="141" t="str">
        <f ca="1">IFERROR(__xludf.DUMMYFUNCTION("""COMPUTED_VALUE"""),"M")</f>
        <v>M</v>
      </c>
      <c r="AA11" s="8" t="str">
        <f ca="1">IFERROR(__xludf.DUMMYFUNCTION("""COMPUTED_VALUE"""),"M")</f>
        <v>M</v>
      </c>
    </row>
    <row r="12" spans="1:27" ht="12.75" x14ac:dyDescent="0.2">
      <c r="A12" s="172">
        <v>6</v>
      </c>
      <c r="B12" s="127" t="str">
        <f ca="1">IFERROR(__xludf.DUMMYFUNCTION("""COMPUTED_VALUE"""),"Johannides Martin")</f>
        <v>Johannides Martin</v>
      </c>
      <c r="C12" s="128" t="str">
        <f ca="1">IFERROR(__xludf.DUMMYFUNCTION("""COMPUTED_VALUE"""),"Česká Třebová")</f>
        <v>Česká Třebová</v>
      </c>
      <c r="D12" s="129">
        <f ca="1">IFERROR(__xludf.DUMMYFUNCTION("""COMPUTED_VALUE"""),127)</f>
        <v>127</v>
      </c>
      <c r="E12" s="130">
        <f ca="1">IFERROR(__xludf.DUMMYFUNCTION("""COMPUTED_VALUE"""),43)</f>
        <v>43</v>
      </c>
      <c r="F12" s="130">
        <f ca="1">IFERROR(__xludf.DUMMYFUNCTION("""COMPUTED_VALUE"""),12)</f>
        <v>12</v>
      </c>
      <c r="G12" s="131">
        <f ca="1">IFERROR(__xludf.DUMMYFUNCTION("""COMPUTED_VALUE"""),170)</f>
        <v>170</v>
      </c>
      <c r="H12" s="129">
        <f ca="1">IFERROR(__xludf.DUMMYFUNCTION("""COMPUTED_VALUE"""),117)</f>
        <v>117</v>
      </c>
      <c r="I12" s="130">
        <f ca="1">IFERROR(__xludf.DUMMYFUNCTION("""COMPUTED_VALUE"""),70)</f>
        <v>70</v>
      </c>
      <c r="J12" s="130">
        <f ca="1">IFERROR(__xludf.DUMMYFUNCTION("""COMPUTED_VALUE"""),4)</f>
        <v>4</v>
      </c>
      <c r="K12" s="131">
        <f ca="1">IFERROR(__xludf.DUMMYFUNCTION("""COMPUTED_VALUE"""),187)</f>
        <v>187</v>
      </c>
      <c r="L12" s="130">
        <f ca="1">IFERROR(__xludf.DUMMYFUNCTION("""COMPUTED_VALUE"""),244)</f>
        <v>244</v>
      </c>
      <c r="M12" s="130">
        <f ca="1">IFERROR(__xludf.DUMMYFUNCTION("""COMPUTED_VALUE"""),113)</f>
        <v>113</v>
      </c>
      <c r="N12" s="130">
        <f ca="1">IFERROR(__xludf.DUMMYFUNCTION("""COMPUTED_VALUE"""),16)</f>
        <v>16</v>
      </c>
      <c r="O12" s="131">
        <f ca="1">IFERROR(__xludf.DUMMYFUNCTION("""COMPUTED_VALUE"""),357)</f>
        <v>357</v>
      </c>
      <c r="P12" s="132">
        <f ca="1">IFERROR(__xludf.DUMMYFUNCTION("""COMPUTED_VALUE"""),719)</f>
        <v>719</v>
      </c>
      <c r="Q12" s="173">
        <f ca="1">IFERROR(__xludf.DUMMYFUNCTION("""COMPUTED_VALUE"""),719)</f>
        <v>719</v>
      </c>
      <c r="R12" s="174">
        <f ca="1">IFERROR(__xludf.DUMMYFUNCTION("""COMPUTED_VALUE"""),226)</f>
        <v>226</v>
      </c>
      <c r="S12" s="174">
        <f ca="1">IFERROR(__xludf.DUMMYFUNCTION("""COMPUTED_VALUE"""),32)</f>
        <v>32</v>
      </c>
      <c r="T12" s="133">
        <f ca="1">IFERROR(__xludf.DUMMYFUNCTION("""COMPUTED_VALUE"""),226)</f>
        <v>226</v>
      </c>
      <c r="U12" s="133">
        <f ca="1">IFERROR(__xludf.DUMMYFUNCTION("""COMPUTED_VALUE"""),32)</f>
        <v>32</v>
      </c>
      <c r="V12" s="175" t="str">
        <f ca="1">IFERROR(__xludf.DUMMYFUNCTION("""COMPUTED_VALUE"""),"Š")</f>
        <v>Š</v>
      </c>
      <c r="W12" s="8" t="str">
        <f ca="1">IFERROR(__xludf.DUMMYFUNCTION("""COMPUTED_VALUE"""),"Š")</f>
        <v>Š</v>
      </c>
      <c r="X12" s="8" t="str">
        <f ca="1">IFERROR(__xludf.DUMMYFUNCTION("""COMPUTED_VALUE"""),"N")</f>
        <v>N</v>
      </c>
      <c r="Y12" s="8" t="str">
        <f ca="1">IFERROR(__xludf.DUMMYFUNCTION("""COMPUTED_VALUE"""),"N")</f>
        <v>N</v>
      </c>
      <c r="Z12" s="8" t="str">
        <f ca="1">IFERROR(__xludf.DUMMYFUNCTION("""COMPUTED_VALUE"""),"M")</f>
        <v>M</v>
      </c>
      <c r="AA12" s="8" t="str">
        <f ca="1">IFERROR(__xludf.DUMMYFUNCTION("""COMPUTED_VALUE"""),"M")</f>
        <v>M</v>
      </c>
    </row>
    <row r="13" spans="1:27" ht="12.75" x14ac:dyDescent="0.2">
      <c r="A13" s="165"/>
      <c r="B13" s="134" t="str">
        <f ca="1">IFERROR(__xludf.DUMMYFUNCTION("""COMPUTED_VALUE"""),"Sochor Stanislav")</f>
        <v>Sochor Stanislav</v>
      </c>
      <c r="C13" s="135" t="str">
        <f ca="1">IFERROR(__xludf.DUMMYFUNCTION("""COMPUTED_VALUE"""),"Vrchovina")</f>
        <v>Vrchovina</v>
      </c>
      <c r="D13" s="136">
        <f ca="1">IFERROR(__xludf.DUMMYFUNCTION("""COMPUTED_VALUE"""),142)</f>
        <v>142</v>
      </c>
      <c r="E13" s="137">
        <f ca="1">IFERROR(__xludf.DUMMYFUNCTION("""COMPUTED_VALUE"""),32)</f>
        <v>32</v>
      </c>
      <c r="F13" s="137">
        <f ca="1">IFERROR(__xludf.DUMMYFUNCTION("""COMPUTED_VALUE"""),8)</f>
        <v>8</v>
      </c>
      <c r="G13" s="138">
        <f ca="1">IFERROR(__xludf.DUMMYFUNCTION("""COMPUTED_VALUE"""),174)</f>
        <v>174</v>
      </c>
      <c r="H13" s="136">
        <f ca="1">IFERROR(__xludf.DUMMYFUNCTION("""COMPUTED_VALUE"""),137)</f>
        <v>137</v>
      </c>
      <c r="I13" s="137">
        <f ca="1">IFERROR(__xludf.DUMMYFUNCTION("""COMPUTED_VALUE"""),61)</f>
        <v>61</v>
      </c>
      <c r="J13" s="137">
        <f ca="1">IFERROR(__xludf.DUMMYFUNCTION("""COMPUTED_VALUE"""),4)</f>
        <v>4</v>
      </c>
      <c r="K13" s="138">
        <f ca="1">IFERROR(__xludf.DUMMYFUNCTION("""COMPUTED_VALUE"""),198)</f>
        <v>198</v>
      </c>
      <c r="L13" s="137">
        <f ca="1">IFERROR(__xludf.DUMMYFUNCTION("""COMPUTED_VALUE"""),279)</f>
        <v>279</v>
      </c>
      <c r="M13" s="137">
        <f ca="1">IFERROR(__xludf.DUMMYFUNCTION("""COMPUTED_VALUE"""),93)</f>
        <v>93</v>
      </c>
      <c r="N13" s="137">
        <f ca="1">IFERROR(__xludf.DUMMYFUNCTION("""COMPUTED_VALUE"""),12)</f>
        <v>12</v>
      </c>
      <c r="O13" s="138">
        <f ca="1">IFERROR(__xludf.DUMMYFUNCTION("""COMPUTED_VALUE"""),372)</f>
        <v>372</v>
      </c>
      <c r="P13" s="139">
        <f ca="1">IFERROR(__xludf.DUMMYFUNCTION("""COMPUTED_VALUE"""),717)</f>
        <v>717</v>
      </c>
      <c r="Q13" s="165"/>
      <c r="R13" s="159"/>
      <c r="S13" s="159"/>
      <c r="T13" s="140">
        <f ca="1">IFERROR(__xludf.DUMMYFUNCTION("""COMPUTED_VALUE"""),177)</f>
        <v>177</v>
      </c>
      <c r="U13" s="140">
        <f ca="1">IFERROR(__xludf.DUMMYFUNCTION("""COMPUTED_VALUE"""),33)</f>
        <v>33</v>
      </c>
      <c r="V13" s="159"/>
      <c r="W13" s="141" t="str">
        <f ca="1">IFERROR(__xludf.DUMMYFUNCTION("""COMPUTED_VALUE"""),"Š")</f>
        <v>Š</v>
      </c>
      <c r="X13" s="141" t="str">
        <f ca="1">IFERROR(__xludf.DUMMYFUNCTION("""COMPUTED_VALUE"""),"N")</f>
        <v>N</v>
      </c>
      <c r="Y13" s="141" t="str">
        <f ca="1">IFERROR(__xludf.DUMMYFUNCTION("""COMPUTED_VALUE"""),"N")</f>
        <v>N</v>
      </c>
      <c r="Z13" s="141" t="str">
        <f ca="1">IFERROR(__xludf.DUMMYFUNCTION("""COMPUTED_VALUE"""),"M")</f>
        <v>M</v>
      </c>
      <c r="AA13" s="8" t="str">
        <f ca="1">IFERROR(__xludf.DUMMYFUNCTION("""COMPUTED_VALUE"""),"M")</f>
        <v>M</v>
      </c>
    </row>
    <row r="14" spans="1:27" ht="12.75" x14ac:dyDescent="0.2">
      <c r="A14" s="172">
        <v>7</v>
      </c>
      <c r="B14" s="127" t="str">
        <f ca="1">IFERROR(__xludf.DUMMYFUNCTION("""COMPUTED_VALUE"""),"Veselý Jiří")</f>
        <v>Veselý Jiří</v>
      </c>
      <c r="C14" s="128" t="str">
        <f ca="1">IFERROR(__xludf.DUMMYFUNCTION("""COMPUTED_VALUE"""),"Medin")</f>
        <v>Medin</v>
      </c>
      <c r="D14" s="129">
        <f ca="1">IFERROR(__xludf.DUMMYFUNCTION("""COMPUTED_VALUE"""),125)</f>
        <v>125</v>
      </c>
      <c r="E14" s="130">
        <f ca="1">IFERROR(__xludf.DUMMYFUNCTION("""COMPUTED_VALUE"""),44)</f>
        <v>44</v>
      </c>
      <c r="F14" s="130">
        <f ca="1">IFERROR(__xludf.DUMMYFUNCTION("""COMPUTED_VALUE"""),10)</f>
        <v>10</v>
      </c>
      <c r="G14" s="131">
        <f ca="1">IFERROR(__xludf.DUMMYFUNCTION("""COMPUTED_VALUE"""),169)</f>
        <v>169</v>
      </c>
      <c r="H14" s="129">
        <f ca="1">IFERROR(__xludf.DUMMYFUNCTION("""COMPUTED_VALUE"""),139)</f>
        <v>139</v>
      </c>
      <c r="I14" s="130">
        <f ca="1">IFERROR(__xludf.DUMMYFUNCTION("""COMPUTED_VALUE"""),34)</f>
        <v>34</v>
      </c>
      <c r="J14" s="130">
        <f ca="1">IFERROR(__xludf.DUMMYFUNCTION("""COMPUTED_VALUE"""),5)</f>
        <v>5</v>
      </c>
      <c r="K14" s="131">
        <f ca="1">IFERROR(__xludf.DUMMYFUNCTION("""COMPUTED_VALUE"""),173)</f>
        <v>173</v>
      </c>
      <c r="L14" s="130">
        <f ca="1">IFERROR(__xludf.DUMMYFUNCTION("""COMPUTED_VALUE"""),264)</f>
        <v>264</v>
      </c>
      <c r="M14" s="130">
        <f ca="1">IFERROR(__xludf.DUMMYFUNCTION("""COMPUTED_VALUE"""),78)</f>
        <v>78</v>
      </c>
      <c r="N14" s="130">
        <f ca="1">IFERROR(__xludf.DUMMYFUNCTION("""COMPUTED_VALUE"""),15)</f>
        <v>15</v>
      </c>
      <c r="O14" s="131">
        <f ca="1">IFERROR(__xludf.DUMMYFUNCTION("""COMPUTED_VALUE"""),342)</f>
        <v>342</v>
      </c>
      <c r="P14" s="132">
        <f ca="1">IFERROR(__xludf.DUMMYFUNCTION("""COMPUTED_VALUE"""),693)</f>
        <v>693</v>
      </c>
      <c r="Q14" s="173">
        <f ca="1">IFERROR(__xludf.DUMMYFUNCTION("""COMPUTED_VALUE"""),693)</f>
        <v>693</v>
      </c>
      <c r="R14" s="174">
        <f ca="1">IFERROR(__xludf.DUMMYFUNCTION("""COMPUTED_VALUE"""),166)</f>
        <v>166</v>
      </c>
      <c r="S14" s="174">
        <f ca="1">IFERROR(__xludf.DUMMYFUNCTION("""COMPUTED_VALUE"""),32)</f>
        <v>32</v>
      </c>
      <c r="T14" s="133">
        <f ca="1">IFERROR(__xludf.DUMMYFUNCTION("""COMPUTED_VALUE"""),166)</f>
        <v>166</v>
      </c>
      <c r="U14" s="133">
        <f ca="1">IFERROR(__xludf.DUMMYFUNCTION("""COMPUTED_VALUE"""),32)</f>
        <v>32</v>
      </c>
      <c r="V14" s="175" t="str">
        <f ca="1">IFERROR(__xludf.DUMMYFUNCTION("""COMPUTED_VALUE"""),"Š")</f>
        <v>Š</v>
      </c>
      <c r="W14" s="8" t="str">
        <f ca="1">IFERROR(__xludf.DUMMYFUNCTION("""COMPUTED_VALUE"""),"Š")</f>
        <v>Š</v>
      </c>
      <c r="X14" s="8" t="str">
        <f ca="1">IFERROR(__xludf.DUMMYFUNCTION("""COMPUTED_VALUE"""),"N")</f>
        <v>N</v>
      </c>
      <c r="Y14" s="8" t="str">
        <f ca="1">IFERROR(__xludf.DUMMYFUNCTION("""COMPUTED_VALUE"""),"N")</f>
        <v>N</v>
      </c>
      <c r="Z14" s="8" t="str">
        <f ca="1">IFERROR(__xludf.DUMMYFUNCTION("""COMPUTED_VALUE"""),"M")</f>
        <v>M</v>
      </c>
      <c r="AA14" s="8" t="str">
        <f ca="1">IFERROR(__xludf.DUMMYFUNCTION("""COMPUTED_VALUE"""),"M")</f>
        <v>M</v>
      </c>
    </row>
    <row r="15" spans="1:27" ht="12.75" x14ac:dyDescent="0.2">
      <c r="A15" s="165"/>
      <c r="B15" s="134" t="str">
        <f ca="1">IFERROR(__xludf.DUMMYFUNCTION("""COMPUTED_VALUE"""),"Radimská Dagmar")</f>
        <v>Radimská Dagmar</v>
      </c>
      <c r="C15" s="135" t="str">
        <f ca="1">IFERROR(__xludf.DUMMYFUNCTION("""COMPUTED_VALUE"""),"Medin")</f>
        <v>Medin</v>
      </c>
      <c r="D15" s="136">
        <f ca="1">IFERROR(__xludf.DUMMYFUNCTION("""COMPUTED_VALUE"""),105)</f>
        <v>105</v>
      </c>
      <c r="E15" s="137">
        <f ca="1">IFERROR(__xludf.DUMMYFUNCTION("""COMPUTED_VALUE"""),43)</f>
        <v>43</v>
      </c>
      <c r="F15" s="137">
        <f ca="1">IFERROR(__xludf.DUMMYFUNCTION("""COMPUTED_VALUE"""),9)</f>
        <v>9</v>
      </c>
      <c r="G15" s="138">
        <f ca="1">IFERROR(__xludf.DUMMYFUNCTION("""COMPUTED_VALUE"""),148)</f>
        <v>148</v>
      </c>
      <c r="H15" s="136">
        <f ca="1">IFERROR(__xludf.DUMMYFUNCTION("""COMPUTED_VALUE"""),118)</f>
        <v>118</v>
      </c>
      <c r="I15" s="137">
        <f ca="1">IFERROR(__xludf.DUMMYFUNCTION("""COMPUTED_VALUE"""),35)</f>
        <v>35</v>
      </c>
      <c r="J15" s="137">
        <f ca="1">IFERROR(__xludf.DUMMYFUNCTION("""COMPUTED_VALUE"""),9)</f>
        <v>9</v>
      </c>
      <c r="K15" s="138">
        <f ca="1">IFERROR(__xludf.DUMMYFUNCTION("""COMPUTED_VALUE"""),153)</f>
        <v>153</v>
      </c>
      <c r="L15" s="137">
        <f ca="1">IFERROR(__xludf.DUMMYFUNCTION("""COMPUTED_VALUE"""),223)</f>
        <v>223</v>
      </c>
      <c r="M15" s="137">
        <f ca="1">IFERROR(__xludf.DUMMYFUNCTION("""COMPUTED_VALUE"""),78)</f>
        <v>78</v>
      </c>
      <c r="N15" s="137">
        <f ca="1">IFERROR(__xludf.DUMMYFUNCTION("""COMPUTED_VALUE"""),18)</f>
        <v>18</v>
      </c>
      <c r="O15" s="138">
        <f ca="1">IFERROR(__xludf.DUMMYFUNCTION("""COMPUTED_VALUE"""),301)</f>
        <v>301</v>
      </c>
      <c r="P15" s="139">
        <f ca="1">IFERROR(__xludf.DUMMYFUNCTION("""COMPUTED_VALUE"""),633)</f>
        <v>633</v>
      </c>
      <c r="Q15" s="165"/>
      <c r="R15" s="159"/>
      <c r="S15" s="159"/>
      <c r="T15" s="140">
        <f ca="1">IFERROR(__xludf.DUMMYFUNCTION("""COMPUTED_VALUE"""),177)</f>
        <v>177</v>
      </c>
      <c r="U15" s="140">
        <f ca="1">IFERROR(__xludf.DUMMYFUNCTION("""COMPUTED_VALUE"""),37)</f>
        <v>37</v>
      </c>
      <c r="V15" s="159"/>
      <c r="W15" s="141" t="str">
        <f ca="1">IFERROR(__xludf.DUMMYFUNCTION("""COMPUTED_VALUE"""),"Š")</f>
        <v>Š</v>
      </c>
      <c r="X15" s="141" t="str">
        <f ca="1">IFERROR(__xludf.DUMMYFUNCTION("""COMPUTED_VALUE"""),"N")</f>
        <v>N</v>
      </c>
      <c r="Y15" s="141" t="str">
        <f ca="1">IFERROR(__xludf.DUMMYFUNCTION("""COMPUTED_VALUE"""),"N")</f>
        <v>N</v>
      </c>
      <c r="Z15" s="141" t="str">
        <f ca="1">IFERROR(__xludf.DUMMYFUNCTION("""COMPUTED_VALUE"""),"Ž")</f>
        <v>Ž</v>
      </c>
      <c r="AA15" s="8" t="str">
        <f ca="1">IFERROR(__xludf.DUMMYFUNCTION("""COMPUTED_VALUE"""),"Ž")</f>
        <v>Ž</v>
      </c>
    </row>
    <row r="16" spans="1:27" ht="12.75" x14ac:dyDescent="0.2">
      <c r="A16" s="172">
        <v>8</v>
      </c>
      <c r="B16" s="127"/>
      <c r="C16" s="128"/>
      <c r="D16" s="129"/>
      <c r="E16" s="130"/>
      <c r="F16" s="130"/>
      <c r="G16" s="131"/>
      <c r="H16" s="129"/>
      <c r="I16" s="130"/>
      <c r="J16" s="130"/>
      <c r="K16" s="131"/>
      <c r="L16" s="130"/>
      <c r="M16" s="130"/>
      <c r="N16" s="130"/>
      <c r="O16" s="131"/>
      <c r="P16" s="132"/>
      <c r="Q16" s="173"/>
      <c r="R16" s="174"/>
      <c r="S16" s="174"/>
      <c r="T16" s="133"/>
      <c r="U16" s="133"/>
      <c r="V16" s="175"/>
    </row>
    <row r="17" spans="1:26" ht="12.75" x14ac:dyDescent="0.2">
      <c r="A17" s="165"/>
      <c r="B17" s="134"/>
      <c r="C17" s="135"/>
      <c r="D17" s="136"/>
      <c r="E17" s="137"/>
      <c r="F17" s="137"/>
      <c r="G17" s="138"/>
      <c r="H17" s="136"/>
      <c r="I17" s="137"/>
      <c r="J17" s="137"/>
      <c r="K17" s="138"/>
      <c r="L17" s="137"/>
      <c r="M17" s="137"/>
      <c r="N17" s="137"/>
      <c r="O17" s="138"/>
      <c r="P17" s="139"/>
      <c r="Q17" s="165"/>
      <c r="R17" s="159"/>
      <c r="S17" s="159"/>
      <c r="T17" s="140"/>
      <c r="U17" s="140"/>
      <c r="V17" s="159"/>
      <c r="W17" s="141"/>
      <c r="X17" s="141"/>
      <c r="Y17" s="141"/>
      <c r="Z17" s="141"/>
    </row>
    <row r="18" spans="1:26" ht="12.75" x14ac:dyDescent="0.2">
      <c r="A18" s="172">
        <v>9</v>
      </c>
      <c r="B18" s="127"/>
      <c r="C18" s="128"/>
      <c r="D18" s="129"/>
      <c r="E18" s="130"/>
      <c r="F18" s="130"/>
      <c r="G18" s="131"/>
      <c r="H18" s="129"/>
      <c r="I18" s="130"/>
      <c r="J18" s="130"/>
      <c r="K18" s="131"/>
      <c r="L18" s="130"/>
      <c r="M18" s="130"/>
      <c r="N18" s="130"/>
      <c r="O18" s="131"/>
      <c r="P18" s="132"/>
      <c r="Q18" s="173"/>
      <c r="R18" s="174"/>
      <c r="S18" s="174"/>
      <c r="T18" s="133"/>
      <c r="U18" s="133"/>
      <c r="V18" s="175"/>
    </row>
    <row r="19" spans="1:26" ht="12.75" x14ac:dyDescent="0.2">
      <c r="A19" s="165"/>
      <c r="B19" s="134"/>
      <c r="C19" s="135"/>
      <c r="D19" s="136"/>
      <c r="E19" s="137"/>
      <c r="F19" s="137"/>
      <c r="G19" s="138"/>
      <c r="H19" s="136"/>
      <c r="I19" s="137"/>
      <c r="J19" s="137"/>
      <c r="K19" s="138"/>
      <c r="L19" s="137"/>
      <c r="M19" s="137"/>
      <c r="N19" s="137"/>
      <c r="O19" s="138"/>
      <c r="P19" s="139"/>
      <c r="Q19" s="165"/>
      <c r="R19" s="159"/>
      <c r="S19" s="159"/>
      <c r="T19" s="140"/>
      <c r="U19" s="140"/>
      <c r="V19" s="159"/>
      <c r="W19" s="141"/>
      <c r="X19" s="141"/>
      <c r="Y19" s="141"/>
      <c r="Z19" s="141"/>
    </row>
    <row r="20" spans="1:26" ht="12.75" x14ac:dyDescent="0.2">
      <c r="A20" s="172">
        <v>10</v>
      </c>
      <c r="B20" s="127"/>
      <c r="C20" s="128"/>
      <c r="D20" s="129"/>
      <c r="E20" s="130"/>
      <c r="F20" s="130"/>
      <c r="G20" s="131"/>
      <c r="H20" s="129"/>
      <c r="I20" s="130"/>
      <c r="J20" s="130"/>
      <c r="K20" s="131"/>
      <c r="L20" s="130"/>
      <c r="M20" s="130"/>
      <c r="N20" s="130"/>
      <c r="O20" s="131"/>
      <c r="P20" s="132"/>
      <c r="Q20" s="173"/>
      <c r="R20" s="174"/>
      <c r="S20" s="174"/>
      <c r="T20" s="133"/>
      <c r="U20" s="133"/>
      <c r="V20" s="175"/>
    </row>
    <row r="21" spans="1:26" ht="12.75" x14ac:dyDescent="0.2">
      <c r="A21" s="165"/>
      <c r="B21" s="134"/>
      <c r="C21" s="135"/>
      <c r="D21" s="136"/>
      <c r="E21" s="137"/>
      <c r="F21" s="137"/>
      <c r="G21" s="138"/>
      <c r="H21" s="136"/>
      <c r="I21" s="137"/>
      <c r="J21" s="137"/>
      <c r="K21" s="138"/>
      <c r="L21" s="137"/>
      <c r="M21" s="137"/>
      <c r="N21" s="137"/>
      <c r="O21" s="138"/>
      <c r="P21" s="139"/>
      <c r="Q21" s="165"/>
      <c r="R21" s="159"/>
      <c r="S21" s="159"/>
      <c r="T21" s="140"/>
      <c r="U21" s="140"/>
      <c r="V21" s="159"/>
      <c r="W21" s="141"/>
      <c r="X21" s="141"/>
      <c r="Y21" s="141"/>
      <c r="Z21" s="141"/>
    </row>
    <row r="22" spans="1:26" ht="12.75" x14ac:dyDescent="0.2">
      <c r="A22" s="172">
        <v>11</v>
      </c>
      <c r="B22" s="127"/>
      <c r="C22" s="128"/>
      <c r="D22" s="129"/>
      <c r="E22" s="130"/>
      <c r="F22" s="130"/>
      <c r="G22" s="131"/>
      <c r="H22" s="129"/>
      <c r="I22" s="130"/>
      <c r="J22" s="130"/>
      <c r="K22" s="131"/>
      <c r="L22" s="130"/>
      <c r="M22" s="130"/>
      <c r="N22" s="130"/>
      <c r="O22" s="131"/>
      <c r="P22" s="132"/>
      <c r="Q22" s="173"/>
      <c r="R22" s="174"/>
      <c r="S22" s="174"/>
      <c r="T22" s="133"/>
      <c r="U22" s="133"/>
      <c r="V22" s="175"/>
    </row>
    <row r="23" spans="1:26" ht="12.75" x14ac:dyDescent="0.2">
      <c r="A23" s="165"/>
      <c r="B23" s="134"/>
      <c r="C23" s="135"/>
      <c r="D23" s="136"/>
      <c r="E23" s="137"/>
      <c r="F23" s="137"/>
      <c r="G23" s="138"/>
      <c r="H23" s="136"/>
      <c r="I23" s="137"/>
      <c r="J23" s="137"/>
      <c r="K23" s="138"/>
      <c r="L23" s="137"/>
      <c r="M23" s="137"/>
      <c r="N23" s="137"/>
      <c r="O23" s="138"/>
      <c r="P23" s="139"/>
      <c r="Q23" s="165"/>
      <c r="R23" s="159"/>
      <c r="S23" s="159"/>
      <c r="T23" s="140"/>
      <c r="U23" s="140"/>
      <c r="V23" s="159"/>
      <c r="W23" s="141"/>
      <c r="X23" s="141"/>
      <c r="Y23" s="141"/>
      <c r="Z23" s="141"/>
    </row>
    <row r="24" spans="1:26" ht="12.75" x14ac:dyDescent="0.2">
      <c r="A24" s="172">
        <v>12</v>
      </c>
      <c r="B24" s="127"/>
      <c r="C24" s="128"/>
      <c r="D24" s="129"/>
      <c r="E24" s="130"/>
      <c r="F24" s="130"/>
      <c r="G24" s="131"/>
      <c r="H24" s="129"/>
      <c r="I24" s="130"/>
      <c r="J24" s="130"/>
      <c r="K24" s="131"/>
      <c r="L24" s="130"/>
      <c r="M24" s="130"/>
      <c r="N24" s="130"/>
      <c r="O24" s="131"/>
      <c r="P24" s="132"/>
      <c r="Q24" s="173"/>
      <c r="R24" s="174"/>
      <c r="S24" s="174"/>
      <c r="T24" s="133"/>
      <c r="U24" s="133"/>
      <c r="V24" s="175"/>
    </row>
    <row r="25" spans="1:26" ht="12.75" x14ac:dyDescent="0.2">
      <c r="A25" s="165"/>
      <c r="B25" s="134"/>
      <c r="C25" s="135"/>
      <c r="D25" s="136"/>
      <c r="E25" s="137"/>
      <c r="F25" s="137"/>
      <c r="G25" s="138"/>
      <c r="H25" s="136"/>
      <c r="I25" s="137"/>
      <c r="J25" s="137"/>
      <c r="K25" s="138"/>
      <c r="L25" s="137"/>
      <c r="M25" s="137"/>
      <c r="N25" s="137"/>
      <c r="O25" s="138"/>
      <c r="P25" s="139"/>
      <c r="Q25" s="165"/>
      <c r="R25" s="159"/>
      <c r="S25" s="159"/>
      <c r="T25" s="140"/>
      <c r="U25" s="140"/>
      <c r="V25" s="159"/>
      <c r="W25" s="141"/>
      <c r="X25" s="141"/>
      <c r="Y25" s="141"/>
      <c r="Z25" s="141"/>
    </row>
    <row r="26" spans="1:26" ht="12.75" x14ac:dyDescent="0.2">
      <c r="A26" s="172">
        <v>13</v>
      </c>
      <c r="B26" s="127"/>
      <c r="C26" s="128"/>
      <c r="D26" s="129"/>
      <c r="E26" s="130"/>
      <c r="F26" s="130"/>
      <c r="G26" s="131"/>
      <c r="H26" s="129"/>
      <c r="I26" s="130"/>
      <c r="J26" s="130"/>
      <c r="K26" s="131"/>
      <c r="L26" s="130"/>
      <c r="M26" s="130"/>
      <c r="N26" s="130"/>
      <c r="O26" s="131"/>
      <c r="P26" s="132"/>
      <c r="Q26" s="173"/>
      <c r="R26" s="174"/>
      <c r="S26" s="174"/>
      <c r="T26" s="133"/>
      <c r="U26" s="133"/>
      <c r="V26" s="175"/>
    </row>
    <row r="27" spans="1:26" ht="12.75" x14ac:dyDescent="0.2">
      <c r="A27" s="165"/>
      <c r="B27" s="134"/>
      <c r="C27" s="135"/>
      <c r="D27" s="136"/>
      <c r="E27" s="137"/>
      <c r="F27" s="137"/>
      <c r="G27" s="138"/>
      <c r="H27" s="136"/>
      <c r="I27" s="137"/>
      <c r="J27" s="137"/>
      <c r="K27" s="138"/>
      <c r="L27" s="137"/>
      <c r="M27" s="137"/>
      <c r="N27" s="137"/>
      <c r="O27" s="138"/>
      <c r="P27" s="139"/>
      <c r="Q27" s="165"/>
      <c r="R27" s="159"/>
      <c r="S27" s="159"/>
      <c r="T27" s="140"/>
      <c r="U27" s="140"/>
      <c r="V27" s="159"/>
      <c r="W27" s="141"/>
      <c r="X27" s="141"/>
      <c r="Y27" s="141"/>
      <c r="Z27" s="141"/>
    </row>
    <row r="28" spans="1:26" ht="12.75" x14ac:dyDescent="0.2">
      <c r="A28" s="172">
        <v>14</v>
      </c>
      <c r="B28" s="127"/>
      <c r="C28" s="128"/>
      <c r="D28" s="129"/>
      <c r="E28" s="130"/>
      <c r="F28" s="130"/>
      <c r="G28" s="131"/>
      <c r="H28" s="129"/>
      <c r="I28" s="130"/>
      <c r="J28" s="130"/>
      <c r="K28" s="131"/>
      <c r="L28" s="130"/>
      <c r="M28" s="130"/>
      <c r="N28" s="130"/>
      <c r="O28" s="131"/>
      <c r="P28" s="132"/>
      <c r="Q28" s="173"/>
      <c r="R28" s="174"/>
      <c r="S28" s="174"/>
      <c r="T28" s="133"/>
      <c r="U28" s="133"/>
      <c r="V28" s="175"/>
    </row>
    <row r="29" spans="1:26" ht="12.75" x14ac:dyDescent="0.2">
      <c r="A29" s="165"/>
      <c r="B29" s="134"/>
      <c r="C29" s="135"/>
      <c r="D29" s="136"/>
      <c r="E29" s="137"/>
      <c r="F29" s="137"/>
      <c r="G29" s="138"/>
      <c r="H29" s="136"/>
      <c r="I29" s="137"/>
      <c r="J29" s="137"/>
      <c r="K29" s="138"/>
      <c r="L29" s="137"/>
      <c r="M29" s="137"/>
      <c r="N29" s="137"/>
      <c r="O29" s="138"/>
      <c r="P29" s="139"/>
      <c r="Q29" s="165"/>
      <c r="R29" s="159"/>
      <c r="S29" s="159"/>
      <c r="T29" s="140"/>
      <c r="U29" s="140"/>
      <c r="V29" s="159"/>
      <c r="W29" s="141"/>
      <c r="X29" s="141"/>
      <c r="Y29" s="141"/>
      <c r="Z29" s="141"/>
    </row>
    <row r="30" spans="1:26" ht="12.75" x14ac:dyDescent="0.2">
      <c r="A30" s="172">
        <v>15</v>
      </c>
      <c r="B30" s="127"/>
      <c r="C30" s="128"/>
      <c r="D30" s="129"/>
      <c r="E30" s="130"/>
      <c r="F30" s="130"/>
      <c r="G30" s="131"/>
      <c r="H30" s="129"/>
      <c r="I30" s="130"/>
      <c r="J30" s="130"/>
      <c r="K30" s="131"/>
      <c r="L30" s="130"/>
      <c r="M30" s="130"/>
      <c r="N30" s="130"/>
      <c r="O30" s="131"/>
      <c r="P30" s="132"/>
      <c r="Q30" s="173"/>
      <c r="R30" s="174"/>
      <c r="S30" s="174"/>
      <c r="T30" s="133"/>
      <c r="U30" s="133"/>
      <c r="V30" s="175"/>
    </row>
    <row r="31" spans="1:26" ht="12.75" x14ac:dyDescent="0.2">
      <c r="A31" s="165"/>
      <c r="B31" s="134"/>
      <c r="C31" s="135"/>
      <c r="D31" s="136"/>
      <c r="E31" s="137"/>
      <c r="F31" s="137"/>
      <c r="G31" s="138"/>
      <c r="H31" s="136"/>
      <c r="I31" s="137"/>
      <c r="J31" s="137"/>
      <c r="K31" s="138"/>
      <c r="L31" s="137"/>
      <c r="M31" s="137"/>
      <c r="N31" s="137"/>
      <c r="O31" s="138"/>
      <c r="P31" s="139"/>
      <c r="Q31" s="165"/>
      <c r="R31" s="159"/>
      <c r="S31" s="159"/>
      <c r="T31" s="140"/>
      <c r="U31" s="140"/>
      <c r="V31" s="159"/>
      <c r="W31" s="141"/>
      <c r="X31" s="141"/>
      <c r="Y31" s="141"/>
      <c r="Z31" s="141"/>
    </row>
    <row r="32" spans="1:26" ht="12.75" x14ac:dyDescent="0.2">
      <c r="A32" s="172">
        <v>16</v>
      </c>
      <c r="B32" s="127"/>
      <c r="C32" s="128"/>
      <c r="D32" s="129"/>
      <c r="E32" s="130"/>
      <c r="F32" s="130"/>
      <c r="G32" s="131"/>
      <c r="H32" s="129"/>
      <c r="I32" s="130"/>
      <c r="J32" s="130"/>
      <c r="K32" s="131"/>
      <c r="L32" s="130"/>
      <c r="M32" s="130"/>
      <c r="N32" s="130"/>
      <c r="O32" s="131"/>
      <c r="P32" s="132"/>
      <c r="Q32" s="173"/>
      <c r="R32" s="174"/>
      <c r="S32" s="174"/>
      <c r="T32" s="133"/>
      <c r="U32" s="133"/>
      <c r="V32" s="175"/>
    </row>
    <row r="33" spans="1:26" ht="12.75" x14ac:dyDescent="0.2">
      <c r="A33" s="165"/>
      <c r="B33" s="134"/>
      <c r="C33" s="135"/>
      <c r="D33" s="136"/>
      <c r="E33" s="137"/>
      <c r="F33" s="137"/>
      <c r="G33" s="138"/>
      <c r="H33" s="136"/>
      <c r="I33" s="137"/>
      <c r="J33" s="137"/>
      <c r="K33" s="138"/>
      <c r="L33" s="137"/>
      <c r="M33" s="137"/>
      <c r="N33" s="137"/>
      <c r="O33" s="138"/>
      <c r="P33" s="139"/>
      <c r="Q33" s="165"/>
      <c r="R33" s="159"/>
      <c r="S33" s="159"/>
      <c r="T33" s="140"/>
      <c r="U33" s="140"/>
      <c r="V33" s="159"/>
      <c r="W33" s="141"/>
      <c r="X33" s="141"/>
      <c r="Y33" s="141"/>
      <c r="Z33" s="141"/>
    </row>
    <row r="34" spans="1:26" ht="12.75" x14ac:dyDescent="0.2">
      <c r="A34" s="172">
        <v>17</v>
      </c>
      <c r="B34" s="127"/>
      <c r="C34" s="128"/>
      <c r="D34" s="129"/>
      <c r="E34" s="130"/>
      <c r="F34" s="130"/>
      <c r="G34" s="131"/>
      <c r="H34" s="129"/>
      <c r="I34" s="130"/>
      <c r="J34" s="130"/>
      <c r="K34" s="131"/>
      <c r="L34" s="130"/>
      <c r="M34" s="130"/>
      <c r="N34" s="130"/>
      <c r="O34" s="131"/>
      <c r="P34" s="132"/>
      <c r="Q34" s="173"/>
      <c r="R34" s="174"/>
      <c r="S34" s="174"/>
      <c r="T34" s="133"/>
      <c r="U34" s="133"/>
      <c r="V34" s="175"/>
    </row>
    <row r="35" spans="1:26" ht="12.75" x14ac:dyDescent="0.2">
      <c r="A35" s="165"/>
      <c r="B35" s="134"/>
      <c r="C35" s="135"/>
      <c r="D35" s="136"/>
      <c r="E35" s="137"/>
      <c r="F35" s="137"/>
      <c r="G35" s="138"/>
      <c r="H35" s="136"/>
      <c r="I35" s="137"/>
      <c r="J35" s="137"/>
      <c r="K35" s="138"/>
      <c r="L35" s="137"/>
      <c r="M35" s="137"/>
      <c r="N35" s="137"/>
      <c r="O35" s="138"/>
      <c r="P35" s="139"/>
      <c r="Q35" s="165"/>
      <c r="R35" s="159"/>
      <c r="S35" s="159"/>
      <c r="T35" s="140"/>
      <c r="U35" s="140"/>
      <c r="V35" s="159"/>
      <c r="W35" s="141"/>
      <c r="X35" s="141"/>
      <c r="Y35" s="141"/>
      <c r="Z35" s="141"/>
    </row>
    <row r="36" spans="1:26" ht="12.75" x14ac:dyDescent="0.2">
      <c r="A36" s="172">
        <v>18</v>
      </c>
      <c r="B36" s="127"/>
      <c r="C36" s="128"/>
      <c r="D36" s="129"/>
      <c r="E36" s="130"/>
      <c r="F36" s="130"/>
      <c r="G36" s="131"/>
      <c r="H36" s="129"/>
      <c r="I36" s="130"/>
      <c r="J36" s="130"/>
      <c r="K36" s="131"/>
      <c r="L36" s="130"/>
      <c r="M36" s="130"/>
      <c r="N36" s="130"/>
      <c r="O36" s="131"/>
      <c r="P36" s="132"/>
      <c r="Q36" s="173"/>
      <c r="R36" s="174"/>
      <c r="S36" s="174"/>
      <c r="T36" s="133"/>
      <c r="U36" s="133"/>
      <c r="V36" s="175"/>
    </row>
    <row r="37" spans="1:26" ht="12.75" x14ac:dyDescent="0.2">
      <c r="A37" s="165"/>
      <c r="B37" s="134"/>
      <c r="C37" s="135"/>
      <c r="D37" s="136"/>
      <c r="E37" s="137"/>
      <c r="F37" s="137"/>
      <c r="G37" s="138"/>
      <c r="H37" s="136"/>
      <c r="I37" s="137"/>
      <c r="J37" s="137"/>
      <c r="K37" s="138"/>
      <c r="L37" s="137"/>
      <c r="M37" s="137"/>
      <c r="N37" s="137"/>
      <c r="O37" s="138"/>
      <c r="P37" s="139"/>
      <c r="Q37" s="165"/>
      <c r="R37" s="159"/>
      <c r="S37" s="159"/>
      <c r="T37" s="140"/>
      <c r="U37" s="140"/>
      <c r="V37" s="159"/>
      <c r="W37" s="141"/>
      <c r="X37" s="141"/>
      <c r="Y37" s="141"/>
      <c r="Z37" s="141"/>
    </row>
    <row r="38" spans="1:26" ht="12.75" x14ac:dyDescent="0.2">
      <c r="A38" s="172">
        <v>19</v>
      </c>
      <c r="B38" s="127"/>
      <c r="C38" s="128"/>
      <c r="D38" s="129"/>
      <c r="E38" s="130"/>
      <c r="F38" s="130"/>
      <c r="G38" s="131"/>
      <c r="H38" s="129"/>
      <c r="I38" s="130"/>
      <c r="J38" s="130"/>
      <c r="K38" s="131"/>
      <c r="L38" s="130"/>
      <c r="M38" s="130"/>
      <c r="N38" s="130"/>
      <c r="O38" s="131"/>
      <c r="P38" s="132"/>
      <c r="Q38" s="173"/>
      <c r="R38" s="174"/>
      <c r="S38" s="174"/>
      <c r="T38" s="133"/>
      <c r="U38" s="133"/>
      <c r="V38" s="175"/>
    </row>
    <row r="39" spans="1:26" ht="12.75" x14ac:dyDescent="0.2">
      <c r="A39" s="165"/>
      <c r="B39" s="134"/>
      <c r="C39" s="135"/>
      <c r="D39" s="136"/>
      <c r="E39" s="137"/>
      <c r="F39" s="137"/>
      <c r="G39" s="138"/>
      <c r="H39" s="136"/>
      <c r="I39" s="137"/>
      <c r="J39" s="137"/>
      <c r="K39" s="138"/>
      <c r="L39" s="137"/>
      <c r="M39" s="137"/>
      <c r="N39" s="137"/>
      <c r="O39" s="138"/>
      <c r="P39" s="139"/>
      <c r="Q39" s="165"/>
      <c r="R39" s="159"/>
      <c r="S39" s="159"/>
      <c r="T39" s="140"/>
      <c r="U39" s="140"/>
      <c r="V39" s="159"/>
      <c r="W39" s="141"/>
      <c r="X39" s="141"/>
      <c r="Y39" s="141"/>
      <c r="Z39" s="141"/>
    </row>
    <row r="40" spans="1:26" ht="12.75" x14ac:dyDescent="0.2">
      <c r="A40" s="172">
        <v>20</v>
      </c>
      <c r="B40" s="127"/>
      <c r="C40" s="128"/>
      <c r="D40" s="129"/>
      <c r="E40" s="130"/>
      <c r="F40" s="130"/>
      <c r="G40" s="131"/>
      <c r="H40" s="129"/>
      <c r="I40" s="130"/>
      <c r="J40" s="130"/>
      <c r="K40" s="131"/>
      <c r="L40" s="130"/>
      <c r="M40" s="130"/>
      <c r="N40" s="130"/>
      <c r="O40" s="131"/>
      <c r="P40" s="132"/>
      <c r="Q40" s="173"/>
      <c r="R40" s="174"/>
      <c r="S40" s="174"/>
      <c r="T40" s="133"/>
      <c r="U40" s="133"/>
      <c r="V40" s="175"/>
    </row>
    <row r="41" spans="1:26" ht="12.75" x14ac:dyDescent="0.2">
      <c r="A41" s="165"/>
      <c r="B41" s="134"/>
      <c r="C41" s="135"/>
      <c r="D41" s="136"/>
      <c r="E41" s="137"/>
      <c r="F41" s="137"/>
      <c r="G41" s="138"/>
      <c r="H41" s="136"/>
      <c r="I41" s="137"/>
      <c r="J41" s="137"/>
      <c r="K41" s="138"/>
      <c r="L41" s="137"/>
      <c r="M41" s="137"/>
      <c r="N41" s="137"/>
      <c r="O41" s="138"/>
      <c r="P41" s="139"/>
      <c r="Q41" s="165"/>
      <c r="R41" s="159"/>
      <c r="S41" s="159"/>
      <c r="T41" s="140"/>
      <c r="U41" s="140"/>
      <c r="V41" s="159"/>
      <c r="W41" s="141"/>
      <c r="X41" s="141"/>
      <c r="Y41" s="141"/>
      <c r="Z41" s="141"/>
    </row>
    <row r="42" spans="1:26" ht="12.75" x14ac:dyDescent="0.2">
      <c r="A42" s="172">
        <v>21</v>
      </c>
      <c r="B42" s="127"/>
      <c r="C42" s="128"/>
      <c r="D42" s="129"/>
      <c r="E42" s="130"/>
      <c r="F42" s="130"/>
      <c r="G42" s="131"/>
      <c r="H42" s="129"/>
      <c r="I42" s="130"/>
      <c r="J42" s="130"/>
      <c r="K42" s="131"/>
      <c r="L42" s="130"/>
      <c r="M42" s="130"/>
      <c r="N42" s="130"/>
      <c r="O42" s="131"/>
      <c r="P42" s="132"/>
      <c r="Q42" s="173"/>
      <c r="R42" s="174"/>
      <c r="S42" s="174"/>
      <c r="T42" s="133"/>
      <c r="U42" s="133"/>
      <c r="V42" s="175"/>
    </row>
    <row r="43" spans="1:26" ht="12.75" x14ac:dyDescent="0.2">
      <c r="A43" s="165"/>
      <c r="B43" s="134"/>
      <c r="C43" s="135"/>
      <c r="D43" s="136"/>
      <c r="E43" s="137"/>
      <c r="F43" s="137"/>
      <c r="G43" s="138"/>
      <c r="H43" s="136"/>
      <c r="I43" s="137"/>
      <c r="J43" s="137"/>
      <c r="K43" s="138"/>
      <c r="L43" s="137"/>
      <c r="M43" s="137"/>
      <c r="N43" s="137"/>
      <c r="O43" s="138"/>
      <c r="P43" s="139"/>
      <c r="Q43" s="165"/>
      <c r="R43" s="159"/>
      <c r="S43" s="159"/>
      <c r="T43" s="140"/>
      <c r="U43" s="140"/>
      <c r="V43" s="159"/>
      <c r="W43" s="141"/>
      <c r="X43" s="141"/>
      <c r="Y43" s="141"/>
      <c r="Z43" s="141"/>
    </row>
    <row r="44" spans="1:26" ht="12.75" x14ac:dyDescent="0.2">
      <c r="A44" s="172">
        <v>22</v>
      </c>
      <c r="B44" s="127"/>
      <c r="C44" s="128"/>
      <c r="D44" s="129"/>
      <c r="E44" s="130"/>
      <c r="F44" s="130"/>
      <c r="G44" s="131"/>
      <c r="H44" s="129"/>
      <c r="I44" s="130"/>
      <c r="J44" s="130"/>
      <c r="K44" s="131"/>
      <c r="L44" s="130"/>
      <c r="M44" s="130"/>
      <c r="N44" s="130"/>
      <c r="O44" s="131"/>
      <c r="P44" s="132"/>
      <c r="Q44" s="173"/>
      <c r="R44" s="174"/>
      <c r="S44" s="174"/>
      <c r="T44" s="133"/>
      <c r="U44" s="133"/>
      <c r="V44" s="175"/>
    </row>
    <row r="45" spans="1:26" ht="12.75" x14ac:dyDescent="0.2">
      <c r="A45" s="165"/>
      <c r="B45" s="134"/>
      <c r="C45" s="135"/>
      <c r="D45" s="136"/>
      <c r="E45" s="137"/>
      <c r="F45" s="137"/>
      <c r="G45" s="138"/>
      <c r="H45" s="136"/>
      <c r="I45" s="137"/>
      <c r="J45" s="137"/>
      <c r="K45" s="138"/>
      <c r="L45" s="137"/>
      <c r="M45" s="137"/>
      <c r="N45" s="137"/>
      <c r="O45" s="138"/>
      <c r="P45" s="139"/>
      <c r="Q45" s="165"/>
      <c r="R45" s="159"/>
      <c r="S45" s="159"/>
      <c r="T45" s="140"/>
      <c r="U45" s="140"/>
      <c r="V45" s="159"/>
      <c r="W45" s="141"/>
      <c r="X45" s="141"/>
      <c r="Y45" s="141"/>
      <c r="Z45" s="141"/>
    </row>
    <row r="46" spans="1:26" ht="12.75" x14ac:dyDescent="0.2">
      <c r="A46" s="172">
        <v>23</v>
      </c>
      <c r="B46" s="127"/>
      <c r="C46" s="128"/>
      <c r="D46" s="129"/>
      <c r="E46" s="130"/>
      <c r="F46" s="130"/>
      <c r="G46" s="131"/>
      <c r="H46" s="129"/>
      <c r="I46" s="130"/>
      <c r="J46" s="130"/>
      <c r="K46" s="131"/>
      <c r="L46" s="130"/>
      <c r="M46" s="130"/>
      <c r="N46" s="130"/>
      <c r="O46" s="131"/>
      <c r="P46" s="132"/>
      <c r="Q46" s="173"/>
      <c r="R46" s="174"/>
      <c r="S46" s="174"/>
      <c r="T46" s="133"/>
      <c r="U46" s="133"/>
      <c r="V46" s="175"/>
    </row>
    <row r="47" spans="1:26" ht="12.75" x14ac:dyDescent="0.2">
      <c r="A47" s="165"/>
      <c r="B47" s="134"/>
      <c r="C47" s="135"/>
      <c r="D47" s="136"/>
      <c r="E47" s="137"/>
      <c r="F47" s="137"/>
      <c r="G47" s="138"/>
      <c r="H47" s="136"/>
      <c r="I47" s="137"/>
      <c r="J47" s="137"/>
      <c r="K47" s="138"/>
      <c r="L47" s="137"/>
      <c r="M47" s="137"/>
      <c r="N47" s="137"/>
      <c r="O47" s="138"/>
      <c r="P47" s="139"/>
      <c r="Q47" s="165"/>
      <c r="R47" s="159"/>
      <c r="S47" s="159"/>
      <c r="T47" s="140"/>
      <c r="U47" s="140"/>
      <c r="V47" s="159"/>
      <c r="W47" s="141"/>
      <c r="X47" s="141"/>
      <c r="Y47" s="141"/>
      <c r="Z47" s="141"/>
    </row>
    <row r="48" spans="1:26" ht="12.75" x14ac:dyDescent="0.2">
      <c r="A48" s="172">
        <v>24</v>
      </c>
      <c r="B48" s="127"/>
      <c r="C48" s="128"/>
      <c r="D48" s="129"/>
      <c r="E48" s="130"/>
      <c r="F48" s="130"/>
      <c r="G48" s="131"/>
      <c r="H48" s="129"/>
      <c r="I48" s="130"/>
      <c r="J48" s="130"/>
      <c r="K48" s="131"/>
      <c r="L48" s="130"/>
      <c r="M48" s="130"/>
      <c r="N48" s="130"/>
      <c r="O48" s="131"/>
      <c r="P48" s="132"/>
      <c r="Q48" s="173"/>
      <c r="R48" s="174"/>
      <c r="S48" s="174"/>
      <c r="T48" s="133"/>
      <c r="U48" s="133"/>
      <c r="V48" s="175"/>
    </row>
    <row r="49" spans="1:26" ht="12.75" x14ac:dyDescent="0.2">
      <c r="A49" s="165"/>
      <c r="B49" s="134"/>
      <c r="C49" s="135"/>
      <c r="D49" s="136"/>
      <c r="E49" s="137"/>
      <c r="F49" s="137"/>
      <c r="G49" s="138"/>
      <c r="H49" s="136"/>
      <c r="I49" s="137"/>
      <c r="J49" s="137"/>
      <c r="K49" s="138"/>
      <c r="L49" s="137"/>
      <c r="M49" s="137"/>
      <c r="N49" s="137"/>
      <c r="O49" s="138"/>
      <c r="P49" s="139"/>
      <c r="Q49" s="165"/>
      <c r="R49" s="159"/>
      <c r="S49" s="159"/>
      <c r="T49" s="140"/>
      <c r="U49" s="140"/>
      <c r="V49" s="159"/>
      <c r="W49" s="141"/>
      <c r="X49" s="141"/>
      <c r="Y49" s="141"/>
      <c r="Z49" s="141"/>
    </row>
    <row r="50" spans="1:26" ht="12.75" x14ac:dyDescent="0.2">
      <c r="A50" s="172">
        <v>25</v>
      </c>
      <c r="B50" s="127"/>
      <c r="C50" s="128"/>
      <c r="D50" s="129"/>
      <c r="E50" s="130"/>
      <c r="F50" s="130"/>
      <c r="G50" s="131"/>
      <c r="H50" s="129"/>
      <c r="I50" s="130"/>
      <c r="J50" s="130"/>
      <c r="K50" s="131"/>
      <c r="L50" s="130"/>
      <c r="M50" s="130"/>
      <c r="N50" s="130"/>
      <c r="O50" s="131"/>
      <c r="P50" s="132"/>
      <c r="Q50" s="173"/>
      <c r="R50" s="174"/>
      <c r="S50" s="174"/>
      <c r="T50" s="133"/>
      <c r="U50" s="133"/>
      <c r="V50" s="175"/>
    </row>
    <row r="51" spans="1:26" ht="12.75" x14ac:dyDescent="0.2">
      <c r="A51" s="165"/>
      <c r="B51" s="134"/>
      <c r="C51" s="135"/>
      <c r="D51" s="136"/>
      <c r="E51" s="137"/>
      <c r="F51" s="137"/>
      <c r="G51" s="138"/>
      <c r="H51" s="136"/>
      <c r="I51" s="137"/>
      <c r="J51" s="137"/>
      <c r="K51" s="138"/>
      <c r="L51" s="137"/>
      <c r="M51" s="137"/>
      <c r="N51" s="137"/>
      <c r="O51" s="138"/>
      <c r="P51" s="139"/>
      <c r="Q51" s="165"/>
      <c r="R51" s="159"/>
      <c r="S51" s="159"/>
      <c r="T51" s="140"/>
      <c r="U51" s="140"/>
      <c r="V51" s="159"/>
      <c r="W51" s="141"/>
      <c r="X51" s="141"/>
      <c r="Y51" s="141"/>
      <c r="Z51" s="141"/>
    </row>
    <row r="52" spans="1:26" ht="12.75" x14ac:dyDescent="0.2">
      <c r="A52" s="172">
        <v>26</v>
      </c>
      <c r="B52" s="127"/>
      <c r="C52" s="128"/>
      <c r="D52" s="129"/>
      <c r="E52" s="130"/>
      <c r="F52" s="130"/>
      <c r="G52" s="131"/>
      <c r="H52" s="129"/>
      <c r="I52" s="130"/>
      <c r="J52" s="130"/>
      <c r="K52" s="131"/>
      <c r="L52" s="130"/>
      <c r="M52" s="130"/>
      <c r="N52" s="130"/>
      <c r="O52" s="131"/>
      <c r="P52" s="132"/>
      <c r="Q52" s="173"/>
      <c r="R52" s="174"/>
      <c r="S52" s="174"/>
      <c r="T52" s="133"/>
      <c r="U52" s="133"/>
      <c r="V52" s="175"/>
    </row>
    <row r="53" spans="1:26" ht="12.75" x14ac:dyDescent="0.2">
      <c r="A53" s="165"/>
      <c r="B53" s="134"/>
      <c r="C53" s="135"/>
      <c r="D53" s="136"/>
      <c r="E53" s="137"/>
      <c r="F53" s="137"/>
      <c r="G53" s="138"/>
      <c r="H53" s="136"/>
      <c r="I53" s="137"/>
      <c r="J53" s="137"/>
      <c r="K53" s="138"/>
      <c r="L53" s="137"/>
      <c r="M53" s="137"/>
      <c r="N53" s="137"/>
      <c r="O53" s="138"/>
      <c r="P53" s="139"/>
      <c r="Q53" s="165"/>
      <c r="R53" s="159"/>
      <c r="S53" s="159"/>
      <c r="T53" s="140"/>
      <c r="U53" s="140"/>
      <c r="V53" s="159"/>
      <c r="W53" s="141"/>
      <c r="X53" s="141"/>
      <c r="Y53" s="141"/>
      <c r="Z53" s="141"/>
    </row>
    <row r="54" spans="1:26" ht="12.75" x14ac:dyDescent="0.2">
      <c r="A54" s="172">
        <v>27</v>
      </c>
      <c r="B54" s="127"/>
      <c r="C54" s="128"/>
      <c r="D54" s="129"/>
      <c r="E54" s="130"/>
      <c r="F54" s="130"/>
      <c r="G54" s="131"/>
      <c r="H54" s="129"/>
      <c r="I54" s="130"/>
      <c r="J54" s="130"/>
      <c r="K54" s="131"/>
      <c r="L54" s="130"/>
      <c r="M54" s="130"/>
      <c r="N54" s="130"/>
      <c r="O54" s="131"/>
      <c r="P54" s="132"/>
      <c r="Q54" s="173"/>
      <c r="R54" s="174"/>
      <c r="S54" s="174"/>
      <c r="T54" s="133"/>
      <c r="U54" s="133"/>
      <c r="V54" s="175"/>
    </row>
    <row r="55" spans="1:26" ht="12.75" x14ac:dyDescent="0.2">
      <c r="A55" s="180"/>
      <c r="B55" s="134"/>
      <c r="C55" s="135"/>
      <c r="D55" s="136"/>
      <c r="E55" s="137"/>
      <c r="F55" s="137"/>
      <c r="G55" s="138"/>
      <c r="H55" s="136"/>
      <c r="I55" s="137"/>
      <c r="J55" s="137"/>
      <c r="K55" s="138"/>
      <c r="L55" s="137"/>
      <c r="M55" s="137"/>
      <c r="N55" s="137"/>
      <c r="O55" s="138"/>
      <c r="P55" s="139"/>
      <c r="Q55" s="165"/>
      <c r="R55" s="159"/>
      <c r="S55" s="159"/>
      <c r="T55" s="140"/>
      <c r="U55" s="140"/>
      <c r="V55" s="159"/>
      <c r="W55" s="141"/>
      <c r="X55" s="141"/>
      <c r="Y55" s="141"/>
      <c r="Z55" s="141"/>
    </row>
    <row r="56" spans="1:26" ht="12.75" x14ac:dyDescent="0.2">
      <c r="A56" s="172">
        <v>28</v>
      </c>
      <c r="B56" s="127"/>
      <c r="C56" s="128"/>
      <c r="D56" s="129"/>
      <c r="E56" s="130"/>
      <c r="F56" s="130"/>
      <c r="G56" s="131"/>
      <c r="H56" s="129"/>
      <c r="I56" s="130"/>
      <c r="J56" s="130"/>
      <c r="K56" s="131"/>
      <c r="L56" s="130"/>
      <c r="M56" s="130"/>
      <c r="N56" s="130"/>
      <c r="O56" s="131"/>
      <c r="P56" s="132"/>
      <c r="Q56" s="173"/>
      <c r="R56" s="174"/>
      <c r="S56" s="174"/>
      <c r="T56" s="133"/>
      <c r="U56" s="133"/>
      <c r="V56" s="175"/>
    </row>
    <row r="57" spans="1:26" ht="12.75" x14ac:dyDescent="0.2">
      <c r="A57" s="180"/>
      <c r="B57" s="134"/>
      <c r="C57" s="135"/>
      <c r="D57" s="136"/>
      <c r="E57" s="137"/>
      <c r="F57" s="137"/>
      <c r="G57" s="138"/>
      <c r="H57" s="136"/>
      <c r="I57" s="137"/>
      <c r="J57" s="137"/>
      <c r="K57" s="138"/>
      <c r="L57" s="137"/>
      <c r="M57" s="137"/>
      <c r="N57" s="137"/>
      <c r="O57" s="138"/>
      <c r="P57" s="139"/>
      <c r="Q57" s="165"/>
      <c r="R57" s="159"/>
      <c r="S57" s="159"/>
      <c r="T57" s="140"/>
      <c r="U57" s="140"/>
      <c r="V57" s="159"/>
      <c r="W57" s="141"/>
      <c r="X57" s="141"/>
      <c r="Y57" s="141"/>
      <c r="Z57" s="141"/>
    </row>
    <row r="58" spans="1:26" ht="12.75" x14ac:dyDescent="0.2">
      <c r="A58" s="172">
        <v>29</v>
      </c>
      <c r="B58" s="127"/>
      <c r="C58" s="128"/>
      <c r="D58" s="129"/>
      <c r="E58" s="130"/>
      <c r="F58" s="130"/>
      <c r="G58" s="131"/>
      <c r="H58" s="129"/>
      <c r="I58" s="130"/>
      <c r="J58" s="130"/>
      <c r="K58" s="131"/>
      <c r="L58" s="130"/>
      <c r="M58" s="130"/>
      <c r="N58" s="130"/>
      <c r="O58" s="131"/>
      <c r="P58" s="132"/>
      <c r="Q58" s="173"/>
      <c r="R58" s="174"/>
      <c r="S58" s="174"/>
      <c r="T58" s="133"/>
      <c r="U58" s="133"/>
      <c r="V58" s="175"/>
    </row>
    <row r="59" spans="1:26" ht="12.75" x14ac:dyDescent="0.2">
      <c r="A59" s="180"/>
      <c r="B59" s="134"/>
      <c r="C59" s="135"/>
      <c r="D59" s="136"/>
      <c r="E59" s="137"/>
      <c r="F59" s="137"/>
      <c r="G59" s="138"/>
      <c r="H59" s="136"/>
      <c r="I59" s="137"/>
      <c r="J59" s="137"/>
      <c r="K59" s="138"/>
      <c r="L59" s="137"/>
      <c r="M59" s="137"/>
      <c r="N59" s="137"/>
      <c r="O59" s="138"/>
      <c r="P59" s="139"/>
      <c r="Q59" s="165"/>
      <c r="R59" s="159"/>
      <c r="S59" s="159"/>
      <c r="T59" s="140"/>
      <c r="U59" s="140"/>
      <c r="V59" s="159"/>
      <c r="W59" s="141"/>
      <c r="X59" s="141"/>
      <c r="Y59" s="141"/>
      <c r="Z59" s="141"/>
    </row>
    <row r="60" spans="1:26" ht="12.75" x14ac:dyDescent="0.2">
      <c r="A60" s="172">
        <v>30</v>
      </c>
      <c r="B60" s="127"/>
      <c r="C60" s="128"/>
      <c r="D60" s="129"/>
      <c r="E60" s="130"/>
      <c r="F60" s="130"/>
      <c r="G60" s="131"/>
      <c r="H60" s="129"/>
      <c r="I60" s="130"/>
      <c r="J60" s="130"/>
      <c r="K60" s="131"/>
      <c r="L60" s="130"/>
      <c r="M60" s="130"/>
      <c r="N60" s="130"/>
      <c r="O60" s="131"/>
      <c r="P60" s="132"/>
      <c r="Q60" s="173"/>
      <c r="R60" s="174"/>
      <c r="S60" s="174"/>
      <c r="T60" s="133"/>
      <c r="U60" s="133"/>
      <c r="V60" s="175"/>
    </row>
    <row r="61" spans="1:26" ht="12.75" x14ac:dyDescent="0.2">
      <c r="A61" s="180"/>
      <c r="B61" s="134"/>
      <c r="C61" s="135"/>
      <c r="D61" s="136"/>
      <c r="E61" s="137"/>
      <c r="F61" s="137"/>
      <c r="G61" s="138"/>
      <c r="H61" s="136"/>
      <c r="I61" s="137"/>
      <c r="J61" s="137"/>
      <c r="K61" s="138"/>
      <c r="L61" s="137"/>
      <c r="M61" s="137"/>
      <c r="N61" s="137"/>
      <c r="O61" s="138"/>
      <c r="P61" s="139"/>
      <c r="Q61" s="165"/>
      <c r="R61" s="159"/>
      <c r="S61" s="159"/>
      <c r="T61" s="140"/>
      <c r="U61" s="140"/>
      <c r="V61" s="159"/>
      <c r="W61" s="141"/>
      <c r="X61" s="141"/>
      <c r="Y61" s="141"/>
      <c r="Z61" s="141"/>
    </row>
    <row r="62" spans="1:26" ht="12.75" x14ac:dyDescent="0.2">
      <c r="A62" s="172">
        <v>31</v>
      </c>
      <c r="B62" s="127"/>
      <c r="C62" s="128"/>
      <c r="D62" s="129"/>
      <c r="E62" s="130"/>
      <c r="F62" s="130"/>
      <c r="G62" s="131"/>
      <c r="H62" s="129"/>
      <c r="I62" s="130"/>
      <c r="J62" s="130"/>
      <c r="K62" s="131"/>
      <c r="L62" s="130"/>
      <c r="M62" s="130"/>
      <c r="N62" s="130"/>
      <c r="O62" s="131"/>
      <c r="P62" s="132"/>
      <c r="Q62" s="173"/>
      <c r="R62" s="174"/>
      <c r="S62" s="174"/>
      <c r="T62" s="133"/>
      <c r="U62" s="133"/>
      <c r="V62" s="175"/>
    </row>
    <row r="63" spans="1:26" ht="12.75" x14ac:dyDescent="0.2">
      <c r="A63" s="180"/>
      <c r="B63" s="134"/>
      <c r="C63" s="135"/>
      <c r="D63" s="136"/>
      <c r="E63" s="137"/>
      <c r="F63" s="137"/>
      <c r="G63" s="138"/>
      <c r="H63" s="136"/>
      <c r="I63" s="137"/>
      <c r="J63" s="137"/>
      <c r="K63" s="138"/>
      <c r="L63" s="137"/>
      <c r="M63" s="137"/>
      <c r="N63" s="137"/>
      <c r="O63" s="138"/>
      <c r="P63" s="139"/>
      <c r="Q63" s="165"/>
      <c r="R63" s="159"/>
      <c r="S63" s="159"/>
      <c r="T63" s="140"/>
      <c r="U63" s="140"/>
      <c r="V63" s="159"/>
      <c r="W63" s="141"/>
      <c r="X63" s="141"/>
      <c r="Y63" s="141"/>
      <c r="Z63" s="141"/>
    </row>
    <row r="64" spans="1:26" ht="12.75" x14ac:dyDescent="0.2">
      <c r="A64" s="172">
        <v>32</v>
      </c>
      <c r="B64" s="127"/>
      <c r="C64" s="128"/>
      <c r="D64" s="129"/>
      <c r="E64" s="130"/>
      <c r="F64" s="130"/>
      <c r="G64" s="131"/>
      <c r="H64" s="129"/>
      <c r="I64" s="130"/>
      <c r="J64" s="130"/>
      <c r="K64" s="131"/>
      <c r="L64" s="130"/>
      <c r="M64" s="130"/>
      <c r="N64" s="130"/>
      <c r="O64" s="131"/>
      <c r="P64" s="132"/>
      <c r="Q64" s="173"/>
      <c r="R64" s="174"/>
      <c r="S64" s="174"/>
      <c r="T64" s="133"/>
      <c r="U64" s="133"/>
      <c r="V64" s="175"/>
    </row>
    <row r="65" spans="1:26" ht="12.75" x14ac:dyDescent="0.2">
      <c r="A65" s="180"/>
      <c r="B65" s="134"/>
      <c r="C65" s="135"/>
      <c r="D65" s="136"/>
      <c r="E65" s="137"/>
      <c r="F65" s="137"/>
      <c r="G65" s="138"/>
      <c r="H65" s="136"/>
      <c r="I65" s="137"/>
      <c r="J65" s="137"/>
      <c r="K65" s="138"/>
      <c r="L65" s="137"/>
      <c r="M65" s="137"/>
      <c r="N65" s="137"/>
      <c r="O65" s="138"/>
      <c r="P65" s="139"/>
      <c r="Q65" s="165"/>
      <c r="R65" s="159"/>
      <c r="S65" s="159"/>
      <c r="T65" s="140"/>
      <c r="U65" s="140"/>
      <c r="V65" s="159"/>
      <c r="W65" s="141"/>
      <c r="X65" s="141"/>
      <c r="Y65" s="141"/>
      <c r="Z65" s="141"/>
    </row>
    <row r="66" spans="1:26" ht="12.75" x14ac:dyDescent="0.2">
      <c r="A66" s="172">
        <v>33</v>
      </c>
      <c r="B66" s="127"/>
      <c r="C66" s="128"/>
      <c r="D66" s="129"/>
      <c r="E66" s="130"/>
      <c r="F66" s="130"/>
      <c r="G66" s="131"/>
      <c r="H66" s="129"/>
      <c r="I66" s="130"/>
      <c r="J66" s="130"/>
      <c r="K66" s="131"/>
      <c r="L66" s="130"/>
      <c r="M66" s="130"/>
      <c r="N66" s="130"/>
      <c r="O66" s="131"/>
      <c r="P66" s="132"/>
      <c r="Q66" s="173"/>
      <c r="R66" s="174"/>
      <c r="S66" s="174"/>
      <c r="T66" s="133"/>
      <c r="U66" s="133"/>
      <c r="V66" s="175"/>
    </row>
    <row r="67" spans="1:26" ht="12.75" x14ac:dyDescent="0.2">
      <c r="A67" s="180"/>
      <c r="B67" s="134"/>
      <c r="C67" s="135"/>
      <c r="D67" s="136"/>
      <c r="E67" s="137"/>
      <c r="F67" s="137"/>
      <c r="G67" s="138"/>
      <c r="H67" s="136"/>
      <c r="I67" s="137"/>
      <c r="J67" s="137"/>
      <c r="K67" s="138"/>
      <c r="L67" s="137"/>
      <c r="M67" s="137"/>
      <c r="N67" s="137"/>
      <c r="O67" s="138"/>
      <c r="P67" s="139"/>
      <c r="Q67" s="165"/>
      <c r="R67" s="159"/>
      <c r="S67" s="159"/>
      <c r="T67" s="140"/>
      <c r="U67" s="140"/>
      <c r="V67" s="159"/>
      <c r="W67" s="141"/>
      <c r="X67" s="141"/>
      <c r="Y67" s="141"/>
      <c r="Z67" s="141"/>
    </row>
    <row r="68" spans="1:26" ht="12.75" x14ac:dyDescent="0.2">
      <c r="A68" s="172">
        <v>34</v>
      </c>
      <c r="B68" s="127"/>
      <c r="C68" s="128"/>
      <c r="D68" s="129"/>
      <c r="E68" s="130"/>
      <c r="F68" s="130"/>
      <c r="G68" s="131"/>
      <c r="H68" s="129"/>
      <c r="I68" s="130"/>
      <c r="J68" s="130"/>
      <c r="K68" s="131"/>
      <c r="L68" s="130"/>
      <c r="M68" s="130"/>
      <c r="N68" s="130"/>
      <c r="O68" s="131"/>
      <c r="P68" s="132"/>
      <c r="Q68" s="173"/>
      <c r="R68" s="174"/>
      <c r="S68" s="174"/>
      <c r="T68" s="133"/>
      <c r="U68" s="133"/>
      <c r="V68" s="175"/>
    </row>
    <row r="69" spans="1:26" ht="12.75" x14ac:dyDescent="0.2">
      <c r="A69" s="180"/>
      <c r="B69" s="134"/>
      <c r="C69" s="135"/>
      <c r="D69" s="136"/>
      <c r="E69" s="137"/>
      <c r="F69" s="137"/>
      <c r="G69" s="138"/>
      <c r="H69" s="136"/>
      <c r="I69" s="137"/>
      <c r="J69" s="137"/>
      <c r="K69" s="138"/>
      <c r="L69" s="137"/>
      <c r="M69" s="137"/>
      <c r="N69" s="137"/>
      <c r="O69" s="138"/>
      <c r="P69" s="139"/>
      <c r="Q69" s="165"/>
      <c r="R69" s="159"/>
      <c r="S69" s="159"/>
      <c r="T69" s="140"/>
      <c r="U69" s="140"/>
      <c r="V69" s="159"/>
      <c r="W69" s="141"/>
      <c r="X69" s="141"/>
      <c r="Y69" s="141"/>
      <c r="Z69" s="141"/>
    </row>
    <row r="70" spans="1:26" ht="12.75" x14ac:dyDescent="0.2">
      <c r="A70" s="172">
        <v>35</v>
      </c>
      <c r="B70" s="127"/>
      <c r="C70" s="128"/>
      <c r="D70" s="129"/>
      <c r="E70" s="130"/>
      <c r="F70" s="130"/>
      <c r="G70" s="131"/>
      <c r="H70" s="129"/>
      <c r="I70" s="130"/>
      <c r="J70" s="130"/>
      <c r="K70" s="131"/>
      <c r="L70" s="130"/>
      <c r="M70" s="130"/>
      <c r="N70" s="130"/>
      <c r="O70" s="131"/>
      <c r="P70" s="132"/>
      <c r="Q70" s="173"/>
      <c r="R70" s="174"/>
      <c r="S70" s="174"/>
      <c r="T70" s="133"/>
      <c r="U70" s="133"/>
      <c r="V70" s="175"/>
    </row>
    <row r="71" spans="1:26" ht="12.75" x14ac:dyDescent="0.2">
      <c r="A71" s="180"/>
      <c r="B71" s="134"/>
      <c r="C71" s="135"/>
      <c r="D71" s="136"/>
      <c r="E71" s="137"/>
      <c r="F71" s="137"/>
      <c r="G71" s="138"/>
      <c r="H71" s="136"/>
      <c r="I71" s="137"/>
      <c r="J71" s="137"/>
      <c r="K71" s="138"/>
      <c r="L71" s="137"/>
      <c r="M71" s="137"/>
      <c r="N71" s="137"/>
      <c r="O71" s="138"/>
      <c r="P71" s="139"/>
      <c r="Q71" s="165"/>
      <c r="R71" s="159"/>
      <c r="S71" s="159"/>
      <c r="T71" s="140"/>
      <c r="U71" s="140"/>
      <c r="V71" s="159"/>
      <c r="W71" s="141"/>
      <c r="X71" s="141"/>
      <c r="Y71" s="141"/>
      <c r="Z71" s="141"/>
    </row>
    <row r="72" spans="1:26" ht="12.75" x14ac:dyDescent="0.2">
      <c r="A72" s="172">
        <v>36</v>
      </c>
      <c r="B72" s="127"/>
      <c r="C72" s="128"/>
      <c r="D72" s="129"/>
      <c r="E72" s="130"/>
      <c r="F72" s="130"/>
      <c r="G72" s="131"/>
      <c r="H72" s="129"/>
      <c r="I72" s="130"/>
      <c r="J72" s="130"/>
      <c r="K72" s="131"/>
      <c r="L72" s="130"/>
      <c r="M72" s="130"/>
      <c r="N72" s="130"/>
      <c r="O72" s="131"/>
      <c r="P72" s="132"/>
      <c r="Q72" s="173"/>
      <c r="R72" s="174"/>
      <c r="S72" s="174"/>
      <c r="T72" s="133"/>
      <c r="U72" s="133"/>
      <c r="V72" s="175"/>
    </row>
    <row r="73" spans="1:26" ht="12.75" x14ac:dyDescent="0.2">
      <c r="A73" s="180"/>
      <c r="B73" s="134"/>
      <c r="C73" s="135"/>
      <c r="D73" s="136"/>
      <c r="E73" s="137"/>
      <c r="F73" s="137"/>
      <c r="G73" s="138"/>
      <c r="H73" s="136"/>
      <c r="I73" s="137"/>
      <c r="J73" s="137"/>
      <c r="K73" s="138"/>
      <c r="L73" s="137"/>
      <c r="M73" s="137"/>
      <c r="N73" s="137"/>
      <c r="O73" s="138"/>
      <c r="P73" s="139"/>
      <c r="Q73" s="165"/>
      <c r="R73" s="159"/>
      <c r="S73" s="159"/>
      <c r="T73" s="140"/>
      <c r="U73" s="140"/>
      <c r="V73" s="159"/>
      <c r="W73" s="141"/>
      <c r="X73" s="141"/>
      <c r="Y73" s="141"/>
      <c r="Z73" s="141"/>
    </row>
    <row r="74" spans="1:26" ht="12.75" x14ac:dyDescent="0.2">
      <c r="A74" s="172">
        <v>37</v>
      </c>
      <c r="B74" s="127"/>
      <c r="C74" s="128"/>
      <c r="D74" s="129"/>
      <c r="E74" s="130"/>
      <c r="F74" s="130"/>
      <c r="G74" s="131"/>
      <c r="H74" s="129"/>
      <c r="I74" s="130"/>
      <c r="J74" s="130"/>
      <c r="K74" s="131"/>
      <c r="L74" s="130"/>
      <c r="M74" s="130"/>
      <c r="N74" s="130"/>
      <c r="O74" s="131"/>
      <c r="P74" s="132"/>
      <c r="Q74" s="173"/>
      <c r="R74" s="174"/>
      <c r="S74" s="174"/>
      <c r="T74" s="133"/>
      <c r="U74" s="133"/>
      <c r="V74" s="175"/>
    </row>
    <row r="75" spans="1:26" ht="12.75" x14ac:dyDescent="0.2">
      <c r="A75" s="180"/>
      <c r="B75" s="134"/>
      <c r="C75" s="135"/>
      <c r="D75" s="136"/>
      <c r="E75" s="137"/>
      <c r="F75" s="137"/>
      <c r="G75" s="138"/>
      <c r="H75" s="136"/>
      <c r="I75" s="137"/>
      <c r="J75" s="137"/>
      <c r="K75" s="138"/>
      <c r="L75" s="137"/>
      <c r="M75" s="137"/>
      <c r="N75" s="137"/>
      <c r="O75" s="138"/>
      <c r="P75" s="139"/>
      <c r="Q75" s="165"/>
      <c r="R75" s="159"/>
      <c r="S75" s="159"/>
      <c r="T75" s="140"/>
      <c r="U75" s="140"/>
      <c r="V75" s="159"/>
      <c r="W75" s="141"/>
      <c r="X75" s="141"/>
      <c r="Y75" s="141"/>
      <c r="Z75" s="141"/>
    </row>
    <row r="76" spans="1:26" ht="12.75" x14ac:dyDescent="0.2">
      <c r="A76" s="172">
        <v>38</v>
      </c>
      <c r="B76" s="127"/>
      <c r="C76" s="128"/>
      <c r="D76" s="129"/>
      <c r="E76" s="130"/>
      <c r="F76" s="130"/>
      <c r="G76" s="131"/>
      <c r="H76" s="129"/>
      <c r="I76" s="130"/>
      <c r="J76" s="130"/>
      <c r="K76" s="131"/>
      <c r="L76" s="130"/>
      <c r="M76" s="130"/>
      <c r="N76" s="130"/>
      <c r="O76" s="131"/>
      <c r="P76" s="132"/>
      <c r="Q76" s="173"/>
      <c r="R76" s="174"/>
      <c r="S76" s="174"/>
      <c r="T76" s="133"/>
      <c r="U76" s="133"/>
      <c r="V76" s="175"/>
    </row>
    <row r="77" spans="1:26" ht="12.75" x14ac:dyDescent="0.2">
      <c r="A77" s="180"/>
      <c r="B77" s="134"/>
      <c r="C77" s="135"/>
      <c r="D77" s="136"/>
      <c r="E77" s="137"/>
      <c r="F77" s="137"/>
      <c r="G77" s="138"/>
      <c r="H77" s="136"/>
      <c r="I77" s="137"/>
      <c r="J77" s="137"/>
      <c r="K77" s="138"/>
      <c r="L77" s="137"/>
      <c r="M77" s="137"/>
      <c r="N77" s="137"/>
      <c r="O77" s="138"/>
      <c r="P77" s="139"/>
      <c r="Q77" s="165"/>
      <c r="R77" s="159"/>
      <c r="S77" s="159"/>
      <c r="T77" s="140"/>
      <c r="U77" s="140"/>
      <c r="V77" s="159"/>
      <c r="W77" s="141"/>
      <c r="X77" s="141"/>
      <c r="Y77" s="141"/>
      <c r="Z77" s="141"/>
    </row>
    <row r="78" spans="1:26" ht="12.75" x14ac:dyDescent="0.2">
      <c r="A78" s="172">
        <v>39</v>
      </c>
      <c r="B78" s="127"/>
      <c r="C78" s="128"/>
      <c r="D78" s="129"/>
      <c r="E78" s="130"/>
      <c r="F78" s="130"/>
      <c r="G78" s="131"/>
      <c r="H78" s="129"/>
      <c r="I78" s="130"/>
      <c r="J78" s="130"/>
      <c r="K78" s="131"/>
      <c r="L78" s="130"/>
      <c r="M78" s="130"/>
      <c r="N78" s="130"/>
      <c r="O78" s="131"/>
      <c r="P78" s="132"/>
      <c r="Q78" s="173"/>
      <c r="R78" s="174"/>
      <c r="S78" s="174"/>
      <c r="T78" s="133"/>
      <c r="U78" s="133"/>
      <c r="V78" s="175"/>
    </row>
    <row r="79" spans="1:26" ht="12.75" x14ac:dyDescent="0.2">
      <c r="A79" s="180"/>
      <c r="B79" s="134"/>
      <c r="C79" s="135"/>
      <c r="D79" s="136"/>
      <c r="E79" s="137"/>
      <c r="F79" s="137"/>
      <c r="G79" s="138"/>
      <c r="H79" s="136"/>
      <c r="I79" s="137"/>
      <c r="J79" s="137"/>
      <c r="K79" s="138"/>
      <c r="L79" s="137"/>
      <c r="M79" s="137"/>
      <c r="N79" s="137"/>
      <c r="O79" s="138"/>
      <c r="P79" s="139"/>
      <c r="Q79" s="165"/>
      <c r="R79" s="159"/>
      <c r="S79" s="159"/>
      <c r="T79" s="140"/>
      <c r="U79" s="140"/>
      <c r="V79" s="159"/>
      <c r="W79" s="141"/>
      <c r="X79" s="141"/>
      <c r="Y79" s="141"/>
      <c r="Z79" s="141"/>
    </row>
    <row r="80" spans="1:26" ht="12.75" x14ac:dyDescent="0.2">
      <c r="A80" s="172">
        <v>40</v>
      </c>
      <c r="B80" s="127"/>
      <c r="C80" s="128"/>
      <c r="D80" s="129"/>
      <c r="E80" s="130"/>
      <c r="F80" s="130"/>
      <c r="G80" s="131"/>
      <c r="H80" s="129"/>
      <c r="I80" s="130"/>
      <c r="J80" s="130"/>
      <c r="K80" s="131"/>
      <c r="L80" s="130"/>
      <c r="M80" s="130"/>
      <c r="N80" s="130"/>
      <c r="O80" s="131"/>
      <c r="P80" s="132"/>
      <c r="Q80" s="173"/>
      <c r="R80" s="174"/>
      <c r="S80" s="174"/>
      <c r="T80" s="133"/>
      <c r="U80" s="133"/>
      <c r="V80" s="175"/>
    </row>
    <row r="81" spans="1:26" ht="12.75" x14ac:dyDescent="0.2">
      <c r="A81" s="165"/>
      <c r="B81" s="134"/>
      <c r="C81" s="135"/>
      <c r="D81" s="136"/>
      <c r="E81" s="137"/>
      <c r="F81" s="137"/>
      <c r="G81" s="138"/>
      <c r="H81" s="137"/>
      <c r="I81" s="137"/>
      <c r="J81" s="137"/>
      <c r="K81" s="138"/>
      <c r="L81" s="137"/>
      <c r="M81" s="137"/>
      <c r="N81" s="137"/>
      <c r="O81" s="138"/>
      <c r="P81" s="139"/>
      <c r="Q81" s="165"/>
      <c r="R81" s="159"/>
      <c r="S81" s="159"/>
      <c r="T81" s="140"/>
      <c r="U81" s="140"/>
      <c r="V81" s="159"/>
      <c r="W81" s="141"/>
      <c r="X81" s="141"/>
      <c r="Y81" s="141"/>
      <c r="Z81" s="141"/>
    </row>
  </sheetData>
  <mergeCells count="200">
    <mergeCell ref="A52:A53"/>
    <mergeCell ref="Q52:Q53"/>
    <mergeCell ref="R52:R53"/>
    <mergeCell ref="S52:S53"/>
    <mergeCell ref="V52:V53"/>
    <mergeCell ref="Q54:Q55"/>
    <mergeCell ref="V54:V55"/>
    <mergeCell ref="R50:R51"/>
    <mergeCell ref="S50:S51"/>
    <mergeCell ref="A54:A55"/>
    <mergeCell ref="A56:A57"/>
    <mergeCell ref="Q56:Q57"/>
    <mergeCell ref="R56:R57"/>
    <mergeCell ref="S56:S57"/>
    <mergeCell ref="V56:V57"/>
    <mergeCell ref="Q58:Q59"/>
    <mergeCell ref="V58:V59"/>
    <mergeCell ref="R54:R55"/>
    <mergeCell ref="S54:S55"/>
    <mergeCell ref="A58:A59"/>
    <mergeCell ref="A60:A61"/>
    <mergeCell ref="Q60:Q61"/>
    <mergeCell ref="R60:R61"/>
    <mergeCell ref="S60:S61"/>
    <mergeCell ref="V60:V61"/>
    <mergeCell ref="Q62:Q63"/>
    <mergeCell ref="V62:V63"/>
    <mergeCell ref="R58:R59"/>
    <mergeCell ref="S58:S59"/>
    <mergeCell ref="A62:A63"/>
    <mergeCell ref="A64:A65"/>
    <mergeCell ref="Q64:Q65"/>
    <mergeCell ref="R64:R65"/>
    <mergeCell ref="S64:S65"/>
    <mergeCell ref="V64:V65"/>
    <mergeCell ref="Q66:Q67"/>
    <mergeCell ref="V66:V67"/>
    <mergeCell ref="R62:R63"/>
    <mergeCell ref="S62:S63"/>
    <mergeCell ref="A66:A67"/>
    <mergeCell ref="A68:A69"/>
    <mergeCell ref="Q68:Q69"/>
    <mergeCell ref="R68:R69"/>
    <mergeCell ref="S68:S69"/>
    <mergeCell ref="V68:V69"/>
    <mergeCell ref="Q70:Q71"/>
    <mergeCell ref="V70:V71"/>
    <mergeCell ref="R66:R67"/>
    <mergeCell ref="S66:S67"/>
    <mergeCell ref="A70:A71"/>
    <mergeCell ref="A72:A73"/>
    <mergeCell ref="Q72:Q73"/>
    <mergeCell ref="R72:R73"/>
    <mergeCell ref="S72:S73"/>
    <mergeCell ref="V72:V73"/>
    <mergeCell ref="Q74:Q75"/>
    <mergeCell ref="V74:V75"/>
    <mergeCell ref="R70:R71"/>
    <mergeCell ref="S70:S71"/>
    <mergeCell ref="R78:R79"/>
    <mergeCell ref="S78:S79"/>
    <mergeCell ref="A74:A75"/>
    <mergeCell ref="A76:A77"/>
    <mergeCell ref="Q76:Q77"/>
    <mergeCell ref="R76:R77"/>
    <mergeCell ref="S76:S77"/>
    <mergeCell ref="V76:V77"/>
    <mergeCell ref="Q78:Q79"/>
    <mergeCell ref="V78:V79"/>
    <mergeCell ref="A78:A79"/>
    <mergeCell ref="R74:R75"/>
    <mergeCell ref="S74:S75"/>
    <mergeCell ref="V6:V7"/>
    <mergeCell ref="Q8:Q9"/>
    <mergeCell ref="R8:R9"/>
    <mergeCell ref="S8:S9"/>
    <mergeCell ref="Q10:Q11"/>
    <mergeCell ref="R10:R11"/>
    <mergeCell ref="S10:S11"/>
    <mergeCell ref="A2:A3"/>
    <mergeCell ref="Q2:Q3"/>
    <mergeCell ref="R2:R3"/>
    <mergeCell ref="S2:S3"/>
    <mergeCell ref="V2:V3"/>
    <mergeCell ref="Q4:Q5"/>
    <mergeCell ref="V4:V5"/>
    <mergeCell ref="R4:R5"/>
    <mergeCell ref="S4:S5"/>
    <mergeCell ref="R12:R13"/>
    <mergeCell ref="S12:S13"/>
    <mergeCell ref="A4:A5"/>
    <mergeCell ref="A6:A7"/>
    <mergeCell ref="A8:A9"/>
    <mergeCell ref="A10:A11"/>
    <mergeCell ref="A12:A13"/>
    <mergeCell ref="A14:A15"/>
    <mergeCell ref="A16:A17"/>
    <mergeCell ref="R14:R15"/>
    <mergeCell ref="S14:S15"/>
    <mergeCell ref="R16:R17"/>
    <mergeCell ref="S16:S17"/>
    <mergeCell ref="Q6:Q7"/>
    <mergeCell ref="R6:R7"/>
    <mergeCell ref="S6:S7"/>
    <mergeCell ref="A18:A19"/>
    <mergeCell ref="A20:A21"/>
    <mergeCell ref="A22:A23"/>
    <mergeCell ref="A24:A25"/>
    <mergeCell ref="A26:A27"/>
    <mergeCell ref="A28:A29"/>
    <mergeCell ref="A30:A31"/>
    <mergeCell ref="Q12:Q13"/>
    <mergeCell ref="Q14:Q15"/>
    <mergeCell ref="Q16:Q17"/>
    <mergeCell ref="Q24:Q25"/>
    <mergeCell ref="A80:A81"/>
    <mergeCell ref="Q80:Q81"/>
    <mergeCell ref="R80:R81"/>
    <mergeCell ref="S80:S81"/>
    <mergeCell ref="V80:V81"/>
    <mergeCell ref="A32:A33"/>
    <mergeCell ref="A34:A35"/>
    <mergeCell ref="A36:A37"/>
    <mergeCell ref="A38:A39"/>
    <mergeCell ref="A40:A41"/>
    <mergeCell ref="A42:A43"/>
    <mergeCell ref="A44:A45"/>
    <mergeCell ref="Q38:Q39"/>
    <mergeCell ref="Q40:Q41"/>
    <mergeCell ref="R40:R41"/>
    <mergeCell ref="S40:S41"/>
    <mergeCell ref="Q36:Q37"/>
    <mergeCell ref="R36:R37"/>
    <mergeCell ref="S36:S37"/>
    <mergeCell ref="V36:V37"/>
    <mergeCell ref="R38:R39"/>
    <mergeCell ref="S38:S39"/>
    <mergeCell ref="V38:V39"/>
    <mergeCell ref="V40:V41"/>
    <mergeCell ref="R22:R23"/>
    <mergeCell ref="S22:S23"/>
    <mergeCell ref="Q18:Q19"/>
    <mergeCell ref="R18:R19"/>
    <mergeCell ref="S18:S19"/>
    <mergeCell ref="Q20:Q21"/>
    <mergeCell ref="R20:R21"/>
    <mergeCell ref="S20:S21"/>
    <mergeCell ref="Q22:Q23"/>
    <mergeCell ref="V22:V23"/>
    <mergeCell ref="V24:V25"/>
    <mergeCell ref="V8:V9"/>
    <mergeCell ref="V10:V11"/>
    <mergeCell ref="V12:V13"/>
    <mergeCell ref="V14:V15"/>
    <mergeCell ref="V16:V17"/>
    <mergeCell ref="V18:V19"/>
    <mergeCell ref="V20:V21"/>
    <mergeCell ref="R24:R25"/>
    <mergeCell ref="S24:S25"/>
    <mergeCell ref="Q26:Q27"/>
    <mergeCell ref="R26:R27"/>
    <mergeCell ref="S26:S27"/>
    <mergeCell ref="V26:V27"/>
    <mergeCell ref="Q28:Q29"/>
    <mergeCell ref="R28:R29"/>
    <mergeCell ref="S28:S29"/>
    <mergeCell ref="V28:V29"/>
    <mergeCell ref="Q42:Q43"/>
    <mergeCell ref="R42:R43"/>
    <mergeCell ref="S42:S43"/>
    <mergeCell ref="V42:V43"/>
    <mergeCell ref="R44:R45"/>
    <mergeCell ref="S44:S45"/>
    <mergeCell ref="V44:V45"/>
    <mergeCell ref="V46:V47"/>
    <mergeCell ref="R30:R31"/>
    <mergeCell ref="S30:S31"/>
    <mergeCell ref="V30:V31"/>
    <mergeCell ref="V32:V33"/>
    <mergeCell ref="V34:V35"/>
    <mergeCell ref="Q30:Q31"/>
    <mergeCell ref="Q32:Q33"/>
    <mergeCell ref="R32:R33"/>
    <mergeCell ref="S32:S33"/>
    <mergeCell ref="Q34:Q35"/>
    <mergeCell ref="R34:R35"/>
    <mergeCell ref="S34:S35"/>
    <mergeCell ref="A46:A47"/>
    <mergeCell ref="A48:A49"/>
    <mergeCell ref="Q48:Q49"/>
    <mergeCell ref="R48:R49"/>
    <mergeCell ref="S48:S49"/>
    <mergeCell ref="V48:V49"/>
    <mergeCell ref="Q50:Q51"/>
    <mergeCell ref="V50:V51"/>
    <mergeCell ref="Q44:Q45"/>
    <mergeCell ref="Q46:Q47"/>
    <mergeCell ref="R46:R47"/>
    <mergeCell ref="S46:S47"/>
    <mergeCell ref="A50:A51"/>
  </mergeCells>
  <conditionalFormatting sqref="Q1:Q1000">
    <cfRule type="cellIs" dxfId="23" priority="1" operator="between">
      <formula>900</formula>
      <formula>999</formula>
    </cfRule>
    <cfRule type="cellIs" dxfId="22" priority="2" operator="between">
      <formula>800</formula>
      <formula>900</formula>
    </cfRule>
    <cfRule type="cellIs" dxfId="21" priority="5" operator="greaterThanOrEqual">
      <formula>1000</formula>
    </cfRule>
  </conditionalFormatting>
  <conditionalFormatting sqref="V1:V1000">
    <cfRule type="cellIs" dxfId="20" priority="3" operator="equal">
      <formula>"Š"</formula>
    </cfRule>
    <cfRule type="cellIs" dxfId="19" priority="4" operator="equal">
      <formula>"TV"</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A106"/>
  <sheetViews>
    <sheetView tabSelected="1" workbookViewId="0">
      <pane ySplit="2" topLeftCell="A3" activePane="bottomLeft" state="frozen"/>
      <selection pane="bottomLeft" activeCell="AC12" sqref="AC12"/>
    </sheetView>
  </sheetViews>
  <sheetFormatPr defaultColWidth="12.5703125" defaultRowHeight="15" customHeight="1" x14ac:dyDescent="0.2"/>
  <cols>
    <col min="1" max="1" width="7" bestFit="1" customWidth="1"/>
    <col min="2" max="2" width="16.85546875" customWidth="1"/>
    <col min="3" max="3" width="17" bestFit="1" customWidth="1"/>
    <col min="4" max="4" width="4" bestFit="1" customWidth="1"/>
    <col min="5" max="5" width="4.28515625" customWidth="1"/>
    <col min="6" max="6" width="3" bestFit="1" customWidth="1"/>
    <col min="7" max="7" width="4" style="157" bestFit="1" customWidth="1"/>
    <col min="8" max="9" width="4" bestFit="1" customWidth="1"/>
    <col min="10" max="10" width="3" bestFit="1" customWidth="1"/>
    <col min="11" max="11" width="4" bestFit="1" customWidth="1"/>
    <col min="12" max="14" width="6.42578125" hidden="1" customWidth="1"/>
    <col min="15" max="15" width="6.42578125" customWidth="1"/>
    <col min="16" max="16" width="7.5703125" hidden="1" customWidth="1"/>
    <col min="17" max="17" width="7.5703125" customWidth="1"/>
    <col min="18" max="19" width="6.42578125" customWidth="1"/>
    <col min="20" max="23" width="6.42578125" hidden="1" customWidth="1"/>
    <col min="24" max="26" width="12.5703125" hidden="1"/>
  </cols>
  <sheetData>
    <row r="1" spans="1:26" ht="15" customHeight="1" thickBot="1" x14ac:dyDescent="0.25">
      <c r="D1" s="181" t="s">
        <v>152</v>
      </c>
      <c r="E1" s="181"/>
      <c r="F1" s="181"/>
      <c r="G1" s="181"/>
      <c r="H1" s="181" t="s">
        <v>153</v>
      </c>
      <c r="I1" s="181"/>
      <c r="J1" s="181"/>
      <c r="K1" s="181"/>
    </row>
    <row r="2" spans="1:26" ht="69" customHeight="1" thickBot="1" x14ac:dyDescent="0.25">
      <c r="A2" s="149" t="s">
        <v>150</v>
      </c>
      <c r="B2" s="142" t="s">
        <v>0</v>
      </c>
      <c r="C2" s="143" t="s">
        <v>1</v>
      </c>
      <c r="D2" s="152" t="s">
        <v>2</v>
      </c>
      <c r="E2" s="144" t="s">
        <v>3</v>
      </c>
      <c r="F2" s="144" t="s">
        <v>4</v>
      </c>
      <c r="G2" s="150" t="s">
        <v>5</v>
      </c>
      <c r="H2" s="144" t="s">
        <v>2</v>
      </c>
      <c r="I2" s="144" t="s">
        <v>3</v>
      </c>
      <c r="J2" s="144" t="s">
        <v>4</v>
      </c>
      <c r="K2" s="145" t="s">
        <v>5</v>
      </c>
      <c r="L2" s="144" t="s">
        <v>2</v>
      </c>
      <c r="M2" s="144" t="s">
        <v>3</v>
      </c>
      <c r="N2" s="144" t="s">
        <v>4</v>
      </c>
      <c r="O2" s="151" t="s">
        <v>154</v>
      </c>
      <c r="P2" s="144" t="s">
        <v>6</v>
      </c>
      <c r="Q2" s="146" t="s">
        <v>6</v>
      </c>
      <c r="R2" s="147" t="s">
        <v>7</v>
      </c>
      <c r="S2" s="147" t="s">
        <v>8</v>
      </c>
      <c r="T2" s="148" t="s">
        <v>151</v>
      </c>
      <c r="U2" s="148" t="s">
        <v>151</v>
      </c>
      <c r="V2" s="111" t="str">
        <f ca="1">IFERROR(__xludf.DUMMYFUNCTION("""COMPUTED_VALUE"""),"")</f>
        <v/>
      </c>
      <c r="W2" s="111" t="str">
        <f ca="1">IFERROR(__xludf.DUMMYFUNCTION("""COMPUTED_VALUE"""),"")</f>
        <v/>
      </c>
      <c r="X2" s="112" t="str">
        <f ca="1">IFERROR(__xludf.DUMMYFUNCTION("""COMPUTED_VALUE"""),"")</f>
        <v/>
      </c>
      <c r="Y2" s="112" t="str">
        <f ca="1">IFERROR(__xludf.DUMMYFUNCTION("""COMPUTED_VALUE"""),"")</f>
        <v/>
      </c>
      <c r="Z2" s="8" t="str">
        <f ca="1">IFERROR(__xludf.DUMMYFUNCTION("""COMPUTED_VALUE"""),"")</f>
        <v/>
      </c>
    </row>
    <row r="3" spans="1:26" ht="12.75" x14ac:dyDescent="0.2">
      <c r="A3" s="176">
        <v>1</v>
      </c>
      <c r="B3" s="113" t="s">
        <v>54</v>
      </c>
      <c r="C3" s="114" t="s">
        <v>55</v>
      </c>
      <c r="D3" s="115">
        <v>145</v>
      </c>
      <c r="E3" s="116">
        <v>89</v>
      </c>
      <c r="F3" s="116">
        <v>2</v>
      </c>
      <c r="G3" s="153">
        <v>234</v>
      </c>
      <c r="H3" s="115">
        <v>153</v>
      </c>
      <c r="I3" s="116">
        <v>86</v>
      </c>
      <c r="J3" s="116">
        <v>2</v>
      </c>
      <c r="K3" s="117">
        <v>239</v>
      </c>
      <c r="L3" s="116">
        <v>298</v>
      </c>
      <c r="M3" s="116">
        <v>175</v>
      </c>
      <c r="N3" s="116">
        <v>4</v>
      </c>
      <c r="O3" s="117">
        <v>473</v>
      </c>
      <c r="P3" s="116">
        <v>940</v>
      </c>
      <c r="Q3" s="177">
        <v>940</v>
      </c>
      <c r="R3" s="178">
        <v>325</v>
      </c>
      <c r="S3" s="178">
        <v>5</v>
      </c>
      <c r="T3" s="118">
        <v>325</v>
      </c>
      <c r="U3" s="118">
        <v>5</v>
      </c>
      <c r="V3" s="119" t="str">
        <f ca="1">IFERROR(__xludf.DUMMYFUNCTION("""COMPUTED_VALUE"""),"Š")</f>
        <v>Š</v>
      </c>
      <c r="W3" s="119" t="str">
        <f ca="1">IFERROR(__xludf.DUMMYFUNCTION("""COMPUTED_VALUE"""),"R")</f>
        <v>R</v>
      </c>
      <c r="X3" s="119" t="str">
        <f ca="1">IFERROR(__xludf.DUMMYFUNCTION("""COMPUTED_VALUE"""),"R")</f>
        <v>R</v>
      </c>
      <c r="Y3" s="119" t="str">
        <f ca="1">IFERROR(__xludf.DUMMYFUNCTION("""COMPUTED_VALUE"""),"M")</f>
        <v>M</v>
      </c>
      <c r="Z3" s="119" t="str">
        <f ca="1">IFERROR(__xludf.DUMMYFUNCTION("""COMPUTED_VALUE"""),"M")</f>
        <v>M</v>
      </c>
    </row>
    <row r="4" spans="1:26" ht="12.75" x14ac:dyDescent="0.2">
      <c r="A4" s="165"/>
      <c r="B4" s="120" t="s">
        <v>56</v>
      </c>
      <c r="C4" s="121" t="s">
        <v>55</v>
      </c>
      <c r="D4" s="122">
        <v>153</v>
      </c>
      <c r="E4" s="123">
        <v>79</v>
      </c>
      <c r="F4" s="123">
        <v>1</v>
      </c>
      <c r="G4" s="154">
        <v>232</v>
      </c>
      <c r="H4" s="122">
        <v>164</v>
      </c>
      <c r="I4" s="123">
        <v>71</v>
      </c>
      <c r="J4" s="123">
        <v>0</v>
      </c>
      <c r="K4" s="124">
        <v>235</v>
      </c>
      <c r="L4" s="123">
        <v>317</v>
      </c>
      <c r="M4" s="123">
        <v>150</v>
      </c>
      <c r="N4" s="123">
        <v>1</v>
      </c>
      <c r="O4" s="124">
        <v>467</v>
      </c>
      <c r="P4" s="123">
        <v>940</v>
      </c>
      <c r="Q4" s="165"/>
      <c r="R4" s="159"/>
      <c r="S4" s="159"/>
      <c r="T4" s="125">
        <v>325</v>
      </c>
      <c r="U4" s="125">
        <v>5</v>
      </c>
      <c r="V4" s="126" t="str">
        <f ca="1">IFERROR(__xludf.DUMMYFUNCTION("""COMPUTED_VALUE"""),"Š")</f>
        <v>Š</v>
      </c>
      <c r="W4" s="126"/>
      <c r="X4" s="126" t="str">
        <f ca="1">IFERROR(__xludf.DUMMYFUNCTION("""COMPUTED_VALUE"""),"R")</f>
        <v>R</v>
      </c>
      <c r="Y4" s="126"/>
      <c r="Z4" s="119" t="str">
        <f ca="1">IFERROR(__xludf.DUMMYFUNCTION("""COMPUTED_VALUE"""),"M")</f>
        <v>M</v>
      </c>
    </row>
    <row r="5" spans="1:26" ht="12.75" x14ac:dyDescent="0.2">
      <c r="A5" s="172">
        <v>2</v>
      </c>
      <c r="B5" s="127" t="s">
        <v>35</v>
      </c>
      <c r="C5" s="128" t="s">
        <v>36</v>
      </c>
      <c r="D5" s="129">
        <v>141</v>
      </c>
      <c r="E5" s="130">
        <v>78</v>
      </c>
      <c r="F5" s="130">
        <v>0</v>
      </c>
      <c r="G5" s="155">
        <v>219</v>
      </c>
      <c r="H5" s="129">
        <v>155</v>
      </c>
      <c r="I5" s="130">
        <v>96</v>
      </c>
      <c r="J5" s="130">
        <v>0</v>
      </c>
      <c r="K5" s="131">
        <v>251</v>
      </c>
      <c r="L5" s="130">
        <v>296</v>
      </c>
      <c r="M5" s="130">
        <v>174</v>
      </c>
      <c r="N5" s="130">
        <v>0</v>
      </c>
      <c r="O5" s="131">
        <v>470</v>
      </c>
      <c r="P5" s="132">
        <v>924</v>
      </c>
      <c r="Q5" s="173">
        <v>924</v>
      </c>
      <c r="R5" s="174">
        <v>338</v>
      </c>
      <c r="S5" s="174">
        <v>4</v>
      </c>
      <c r="T5" s="133">
        <v>338</v>
      </c>
      <c r="U5" s="133">
        <v>4</v>
      </c>
      <c r="V5" s="8" t="str">
        <f ca="1">IFERROR(__xludf.DUMMYFUNCTION("""COMPUTED_VALUE"""),"TV")</f>
        <v>TV</v>
      </c>
      <c r="W5" s="8" t="str">
        <f ca="1">IFERROR(__xludf.DUMMYFUNCTION("""COMPUTED_VALUE"""),"N")</f>
        <v>N</v>
      </c>
      <c r="X5" s="8" t="str">
        <f ca="1">IFERROR(__xludf.DUMMYFUNCTION("""COMPUTED_VALUE"""),"N")</f>
        <v>N</v>
      </c>
      <c r="Y5" s="8" t="str">
        <f ca="1">IFERROR(__xludf.DUMMYFUNCTION("""COMPUTED_VALUE"""),"M")</f>
        <v>M</v>
      </c>
      <c r="Z5" s="8" t="str">
        <f ca="1">IFERROR(__xludf.DUMMYFUNCTION("""COMPUTED_VALUE"""),"M")</f>
        <v>M</v>
      </c>
    </row>
    <row r="6" spans="1:26" ht="12.75" x14ac:dyDescent="0.2">
      <c r="A6" s="165"/>
      <c r="B6" s="134" t="s">
        <v>40</v>
      </c>
      <c r="C6" s="135" t="s">
        <v>36</v>
      </c>
      <c r="D6" s="136">
        <v>145</v>
      </c>
      <c r="E6" s="137">
        <v>76</v>
      </c>
      <c r="F6" s="137">
        <v>3</v>
      </c>
      <c r="G6" s="156">
        <v>221</v>
      </c>
      <c r="H6" s="136">
        <v>145</v>
      </c>
      <c r="I6" s="137">
        <v>88</v>
      </c>
      <c r="J6" s="137">
        <v>1</v>
      </c>
      <c r="K6" s="138">
        <v>233</v>
      </c>
      <c r="L6" s="137">
        <v>290</v>
      </c>
      <c r="M6" s="137">
        <v>164</v>
      </c>
      <c r="N6" s="137">
        <v>4</v>
      </c>
      <c r="O6" s="138">
        <v>454</v>
      </c>
      <c r="P6" s="139">
        <v>924</v>
      </c>
      <c r="Q6" s="165"/>
      <c r="R6" s="159"/>
      <c r="S6" s="159"/>
      <c r="T6" s="140">
        <v>338</v>
      </c>
      <c r="U6" s="140">
        <v>4</v>
      </c>
      <c r="V6" s="141" t="str">
        <f ca="1">IFERROR(__xludf.DUMMYFUNCTION("""COMPUTED_VALUE"""),"TV")</f>
        <v>TV</v>
      </c>
      <c r="W6" s="141"/>
      <c r="X6" s="141" t="str">
        <f ca="1">IFERROR(__xludf.DUMMYFUNCTION("""COMPUTED_VALUE"""),"N")</f>
        <v>N</v>
      </c>
      <c r="Y6" s="141"/>
      <c r="Z6" s="8" t="str">
        <f ca="1">IFERROR(__xludf.DUMMYFUNCTION("""COMPUTED_VALUE"""),"M")</f>
        <v>M</v>
      </c>
    </row>
    <row r="7" spans="1:26" ht="12.75" x14ac:dyDescent="0.2">
      <c r="A7" s="172">
        <v>3</v>
      </c>
      <c r="B7" s="127" t="s">
        <v>59</v>
      </c>
      <c r="C7" s="128" t="s">
        <v>60</v>
      </c>
      <c r="D7" s="129">
        <v>150</v>
      </c>
      <c r="E7" s="130">
        <v>69</v>
      </c>
      <c r="F7" s="130">
        <v>1</v>
      </c>
      <c r="G7" s="155">
        <v>219</v>
      </c>
      <c r="H7" s="129">
        <v>150</v>
      </c>
      <c r="I7" s="130">
        <v>78</v>
      </c>
      <c r="J7" s="130">
        <v>1</v>
      </c>
      <c r="K7" s="131">
        <v>228</v>
      </c>
      <c r="L7" s="130">
        <v>300</v>
      </c>
      <c r="M7" s="130">
        <v>147</v>
      </c>
      <c r="N7" s="130">
        <v>2</v>
      </c>
      <c r="O7" s="131">
        <v>447</v>
      </c>
      <c r="P7" s="132">
        <v>895</v>
      </c>
      <c r="Q7" s="173">
        <v>895</v>
      </c>
      <c r="R7" s="174">
        <v>290</v>
      </c>
      <c r="S7" s="174">
        <v>4</v>
      </c>
      <c r="T7" s="133">
        <v>290</v>
      </c>
      <c r="U7" s="133">
        <v>4</v>
      </c>
      <c r="V7" s="8" t="str">
        <f ca="1">IFERROR(__xludf.DUMMYFUNCTION("""COMPUTED_VALUE"""),"TV")</f>
        <v>TV</v>
      </c>
      <c r="W7" s="8" t="str">
        <f ca="1">IFERROR(__xludf.DUMMYFUNCTION("""COMPUTED_VALUE"""),"R")</f>
        <v>R</v>
      </c>
      <c r="X7" s="8" t="str">
        <f ca="1">IFERROR(__xludf.DUMMYFUNCTION("""COMPUTED_VALUE"""),"R")</f>
        <v>R</v>
      </c>
      <c r="Y7" s="8" t="str">
        <f ca="1">IFERROR(__xludf.DUMMYFUNCTION("""COMPUTED_VALUE"""),"M")</f>
        <v>M</v>
      </c>
      <c r="Z7" s="8" t="str">
        <f ca="1">IFERROR(__xludf.DUMMYFUNCTION("""COMPUTED_VALUE"""),"M")</f>
        <v>M</v>
      </c>
    </row>
    <row r="8" spans="1:26" ht="12.75" x14ac:dyDescent="0.2">
      <c r="A8" s="165"/>
      <c r="B8" s="134" t="s">
        <v>61</v>
      </c>
      <c r="C8" s="135" t="s">
        <v>60</v>
      </c>
      <c r="D8" s="136">
        <v>150</v>
      </c>
      <c r="E8" s="137">
        <v>81</v>
      </c>
      <c r="F8" s="137">
        <v>1</v>
      </c>
      <c r="G8" s="156">
        <v>231</v>
      </c>
      <c r="H8" s="136">
        <v>155</v>
      </c>
      <c r="I8" s="137">
        <v>62</v>
      </c>
      <c r="J8" s="137">
        <v>1</v>
      </c>
      <c r="K8" s="138">
        <v>217</v>
      </c>
      <c r="L8" s="137">
        <v>305</v>
      </c>
      <c r="M8" s="137">
        <v>143</v>
      </c>
      <c r="N8" s="137">
        <v>2</v>
      </c>
      <c r="O8" s="138">
        <v>448</v>
      </c>
      <c r="P8" s="139">
        <v>895</v>
      </c>
      <c r="Q8" s="165"/>
      <c r="R8" s="159"/>
      <c r="S8" s="159"/>
      <c r="T8" s="140">
        <v>290</v>
      </c>
      <c r="U8" s="140">
        <v>4</v>
      </c>
      <c r="V8" s="141" t="str">
        <f ca="1">IFERROR(__xludf.DUMMYFUNCTION("""COMPUTED_VALUE"""),"TV")</f>
        <v>TV</v>
      </c>
      <c r="W8" s="141"/>
      <c r="X8" s="141" t="str">
        <f ca="1">IFERROR(__xludf.DUMMYFUNCTION("""COMPUTED_VALUE"""),"R")</f>
        <v>R</v>
      </c>
      <c r="Y8" s="141"/>
      <c r="Z8" s="8" t="str">
        <f ca="1">IFERROR(__xludf.DUMMYFUNCTION("""COMPUTED_VALUE"""),"M")</f>
        <v>M</v>
      </c>
    </row>
    <row r="9" spans="1:26" ht="12.75" x14ac:dyDescent="0.2">
      <c r="A9" s="172">
        <v>4</v>
      </c>
      <c r="B9" s="127" t="s">
        <v>95</v>
      </c>
      <c r="C9" s="128" t="s">
        <v>73</v>
      </c>
      <c r="D9" s="129">
        <v>151</v>
      </c>
      <c r="E9" s="130">
        <v>71</v>
      </c>
      <c r="F9" s="130">
        <v>1</v>
      </c>
      <c r="G9" s="155">
        <v>222</v>
      </c>
      <c r="H9" s="129">
        <v>161</v>
      </c>
      <c r="I9" s="130">
        <v>81</v>
      </c>
      <c r="J9" s="130">
        <v>0</v>
      </c>
      <c r="K9" s="131">
        <v>242</v>
      </c>
      <c r="L9" s="130">
        <v>312</v>
      </c>
      <c r="M9" s="130">
        <v>152</v>
      </c>
      <c r="N9" s="130">
        <v>1</v>
      </c>
      <c r="O9" s="131">
        <v>464</v>
      </c>
      <c r="P9" s="132">
        <v>894</v>
      </c>
      <c r="Q9" s="173">
        <v>894</v>
      </c>
      <c r="R9" s="174">
        <v>295</v>
      </c>
      <c r="S9" s="174">
        <v>3</v>
      </c>
      <c r="T9" s="133">
        <v>295</v>
      </c>
      <c r="U9" s="133">
        <v>3</v>
      </c>
      <c r="V9" s="8" t="str">
        <f ca="1">IFERROR(__xludf.DUMMYFUNCTION("""COMPUTED_VALUE"""),"Š")</f>
        <v>Š</v>
      </c>
      <c r="W9" s="8" t="str">
        <f ca="1">IFERROR(__xludf.DUMMYFUNCTION("""COMPUTED_VALUE"""),"R")</f>
        <v>R</v>
      </c>
      <c r="X9" s="8" t="str">
        <f ca="1">IFERROR(__xludf.DUMMYFUNCTION("""COMPUTED_VALUE"""),"R")</f>
        <v>R</v>
      </c>
      <c r="Y9" s="8" t="str">
        <f ca="1">IFERROR(__xludf.DUMMYFUNCTION("""COMPUTED_VALUE"""),"M")</f>
        <v>M</v>
      </c>
      <c r="Z9" s="8" t="str">
        <f ca="1">IFERROR(__xludf.DUMMYFUNCTION("""COMPUTED_VALUE"""),"M")</f>
        <v>M</v>
      </c>
    </row>
    <row r="10" spans="1:26" ht="12.75" x14ac:dyDescent="0.2">
      <c r="A10" s="165"/>
      <c r="B10" s="134" t="s">
        <v>96</v>
      </c>
      <c r="C10" s="135" t="s">
        <v>73</v>
      </c>
      <c r="D10" s="136">
        <v>141</v>
      </c>
      <c r="E10" s="137">
        <v>54</v>
      </c>
      <c r="F10" s="137">
        <v>2</v>
      </c>
      <c r="G10" s="156">
        <v>195</v>
      </c>
      <c r="H10" s="136">
        <v>146</v>
      </c>
      <c r="I10" s="137">
        <v>89</v>
      </c>
      <c r="J10" s="137">
        <v>0</v>
      </c>
      <c r="K10" s="138">
        <v>235</v>
      </c>
      <c r="L10" s="137">
        <v>287</v>
      </c>
      <c r="M10" s="137">
        <v>143</v>
      </c>
      <c r="N10" s="137">
        <v>2</v>
      </c>
      <c r="O10" s="138">
        <v>430</v>
      </c>
      <c r="P10" s="139">
        <v>894</v>
      </c>
      <c r="Q10" s="165"/>
      <c r="R10" s="159"/>
      <c r="S10" s="159"/>
      <c r="T10" s="140">
        <v>295</v>
      </c>
      <c r="U10" s="140">
        <v>3</v>
      </c>
      <c r="V10" s="141" t="str">
        <f ca="1">IFERROR(__xludf.DUMMYFUNCTION("""COMPUTED_VALUE"""),"Š")</f>
        <v>Š</v>
      </c>
      <c r="W10" s="141"/>
      <c r="X10" s="141" t="str">
        <f ca="1">IFERROR(__xludf.DUMMYFUNCTION("""COMPUTED_VALUE"""),"R")</f>
        <v>R</v>
      </c>
      <c r="Y10" s="141"/>
      <c r="Z10" s="8" t="str">
        <f ca="1">IFERROR(__xludf.DUMMYFUNCTION("""COMPUTED_VALUE"""),"M")</f>
        <v>M</v>
      </c>
    </row>
    <row r="11" spans="1:26" ht="12.75" x14ac:dyDescent="0.2">
      <c r="A11" s="172">
        <v>5</v>
      </c>
      <c r="B11" s="127" t="s">
        <v>81</v>
      </c>
      <c r="C11" s="128" t="s">
        <v>49</v>
      </c>
      <c r="D11" s="129">
        <v>152</v>
      </c>
      <c r="E11" s="130">
        <v>81</v>
      </c>
      <c r="F11" s="130">
        <v>1</v>
      </c>
      <c r="G11" s="155">
        <v>233</v>
      </c>
      <c r="H11" s="129">
        <v>154</v>
      </c>
      <c r="I11" s="130">
        <v>59</v>
      </c>
      <c r="J11" s="130">
        <v>4</v>
      </c>
      <c r="K11" s="131">
        <v>213</v>
      </c>
      <c r="L11" s="130">
        <v>306</v>
      </c>
      <c r="M11" s="130">
        <v>140</v>
      </c>
      <c r="N11" s="130">
        <v>5</v>
      </c>
      <c r="O11" s="131">
        <v>446</v>
      </c>
      <c r="P11" s="132">
        <v>883</v>
      </c>
      <c r="Q11" s="173">
        <v>883</v>
      </c>
      <c r="R11" s="174">
        <v>278</v>
      </c>
      <c r="S11" s="174">
        <v>9</v>
      </c>
      <c r="T11" s="133">
        <v>278</v>
      </c>
      <c r="U11" s="133">
        <v>9</v>
      </c>
      <c r="V11" s="8" t="str">
        <f ca="1">IFERROR(__xludf.DUMMYFUNCTION("""COMPUTED_VALUE"""),"TV")</f>
        <v>TV</v>
      </c>
      <c r="W11" s="8" t="str">
        <f ca="1">IFERROR(__xludf.DUMMYFUNCTION("""COMPUTED_VALUE"""),"R")</f>
        <v>R</v>
      </c>
      <c r="X11" s="8" t="str">
        <f ca="1">IFERROR(__xludf.DUMMYFUNCTION("""COMPUTED_VALUE"""),"R")</f>
        <v>R</v>
      </c>
      <c r="Y11" s="8" t="str">
        <f ca="1">IFERROR(__xludf.DUMMYFUNCTION("""COMPUTED_VALUE"""),"M")</f>
        <v>M</v>
      </c>
      <c r="Z11" s="8" t="str">
        <f ca="1">IFERROR(__xludf.DUMMYFUNCTION("""COMPUTED_VALUE"""),"M")</f>
        <v>M</v>
      </c>
    </row>
    <row r="12" spans="1:26" ht="12.75" x14ac:dyDescent="0.2">
      <c r="A12" s="165"/>
      <c r="B12" s="134" t="s">
        <v>82</v>
      </c>
      <c r="C12" s="135" t="s">
        <v>49</v>
      </c>
      <c r="D12" s="136">
        <v>156</v>
      </c>
      <c r="E12" s="137">
        <v>67</v>
      </c>
      <c r="F12" s="137">
        <v>2</v>
      </c>
      <c r="G12" s="156">
        <v>223</v>
      </c>
      <c r="H12" s="136">
        <v>143</v>
      </c>
      <c r="I12" s="137">
        <v>71</v>
      </c>
      <c r="J12" s="137">
        <v>2</v>
      </c>
      <c r="K12" s="138">
        <v>214</v>
      </c>
      <c r="L12" s="137">
        <v>299</v>
      </c>
      <c r="M12" s="137">
        <v>138</v>
      </c>
      <c r="N12" s="137">
        <v>4</v>
      </c>
      <c r="O12" s="138">
        <v>437</v>
      </c>
      <c r="P12" s="139">
        <v>883</v>
      </c>
      <c r="Q12" s="165"/>
      <c r="R12" s="159"/>
      <c r="S12" s="159"/>
      <c r="T12" s="140">
        <v>278</v>
      </c>
      <c r="U12" s="140">
        <v>9</v>
      </c>
      <c r="V12" s="141" t="str">
        <f ca="1">IFERROR(__xludf.DUMMYFUNCTION("""COMPUTED_VALUE"""),"TV")</f>
        <v>TV</v>
      </c>
      <c r="W12" s="141"/>
      <c r="X12" s="141" t="str">
        <f ca="1">IFERROR(__xludf.DUMMYFUNCTION("""COMPUTED_VALUE"""),"R")</f>
        <v>R</v>
      </c>
      <c r="Y12" s="141"/>
      <c r="Z12" s="8" t="str">
        <f ca="1">IFERROR(__xludf.DUMMYFUNCTION("""COMPUTED_VALUE"""),"M")</f>
        <v>M</v>
      </c>
    </row>
    <row r="13" spans="1:26" ht="12.75" x14ac:dyDescent="0.2">
      <c r="A13" s="172">
        <v>6</v>
      </c>
      <c r="B13" s="127" t="s">
        <v>52</v>
      </c>
      <c r="C13" s="128" t="s">
        <v>49</v>
      </c>
      <c r="D13" s="129">
        <v>147</v>
      </c>
      <c r="E13" s="130">
        <v>72</v>
      </c>
      <c r="F13" s="130">
        <v>2</v>
      </c>
      <c r="G13" s="155">
        <v>219</v>
      </c>
      <c r="H13" s="129">
        <v>141</v>
      </c>
      <c r="I13" s="130">
        <v>79</v>
      </c>
      <c r="J13" s="130">
        <v>0</v>
      </c>
      <c r="K13" s="131">
        <v>220</v>
      </c>
      <c r="L13" s="130">
        <v>288</v>
      </c>
      <c r="M13" s="130">
        <v>151</v>
      </c>
      <c r="N13" s="130">
        <v>2</v>
      </c>
      <c r="O13" s="131">
        <v>439</v>
      </c>
      <c r="P13" s="132">
        <v>881</v>
      </c>
      <c r="Q13" s="173">
        <v>881</v>
      </c>
      <c r="R13" s="174">
        <v>291</v>
      </c>
      <c r="S13" s="174">
        <v>8</v>
      </c>
      <c r="T13" s="133">
        <v>291</v>
      </c>
      <c r="U13" s="133">
        <v>8</v>
      </c>
      <c r="V13" s="8" t="str">
        <f ca="1">IFERROR(__xludf.DUMMYFUNCTION("""COMPUTED_VALUE"""),"TV")</f>
        <v>TV</v>
      </c>
      <c r="W13" s="8" t="str">
        <f ca="1">IFERROR(__xludf.DUMMYFUNCTION("""COMPUTED_VALUE"""),"R")</f>
        <v>R</v>
      </c>
      <c r="X13" s="8" t="str">
        <f ca="1">IFERROR(__xludf.DUMMYFUNCTION("""COMPUTED_VALUE"""),"R")</f>
        <v>R</v>
      </c>
      <c r="Y13" s="8" t="str">
        <f ca="1">IFERROR(__xludf.DUMMYFUNCTION("""COMPUTED_VALUE"""),"S")</f>
        <v>S</v>
      </c>
      <c r="Z13" s="8" t="str">
        <f ca="1">IFERROR(__xludf.DUMMYFUNCTION("""COMPUTED_VALUE"""),"S")</f>
        <v>S</v>
      </c>
    </row>
    <row r="14" spans="1:26" ht="12.75" x14ac:dyDescent="0.2">
      <c r="A14" s="165"/>
      <c r="B14" s="134" t="s">
        <v>72</v>
      </c>
      <c r="C14" s="135" t="s">
        <v>73</v>
      </c>
      <c r="D14" s="136">
        <v>156</v>
      </c>
      <c r="E14" s="137">
        <v>78</v>
      </c>
      <c r="F14" s="137">
        <v>3</v>
      </c>
      <c r="G14" s="156">
        <v>234</v>
      </c>
      <c r="H14" s="136">
        <v>146</v>
      </c>
      <c r="I14" s="137">
        <v>62</v>
      </c>
      <c r="J14" s="137">
        <v>3</v>
      </c>
      <c r="K14" s="138">
        <v>208</v>
      </c>
      <c r="L14" s="137">
        <v>302</v>
      </c>
      <c r="M14" s="137">
        <v>140</v>
      </c>
      <c r="N14" s="137">
        <v>6</v>
      </c>
      <c r="O14" s="138">
        <v>442</v>
      </c>
      <c r="P14" s="139">
        <v>881</v>
      </c>
      <c r="Q14" s="165"/>
      <c r="R14" s="159"/>
      <c r="S14" s="159"/>
      <c r="T14" s="140">
        <v>291</v>
      </c>
      <c r="U14" s="140">
        <v>8</v>
      </c>
      <c r="V14" s="141" t="str">
        <f ca="1">IFERROR(__xludf.DUMMYFUNCTION("""COMPUTED_VALUE"""),"TV")</f>
        <v>TV</v>
      </c>
      <c r="W14" s="141"/>
      <c r="X14" s="141" t="str">
        <f ca="1">IFERROR(__xludf.DUMMYFUNCTION("""COMPUTED_VALUE"""),"R")</f>
        <v>R</v>
      </c>
      <c r="Y14" s="141"/>
      <c r="Z14" s="8" t="str">
        <f ca="1">IFERROR(__xludf.DUMMYFUNCTION("""COMPUTED_VALUE"""),"S")</f>
        <v>S</v>
      </c>
    </row>
    <row r="15" spans="1:26" ht="12.75" x14ac:dyDescent="0.2">
      <c r="A15" s="172">
        <v>7</v>
      </c>
      <c r="B15" s="127" t="s">
        <v>138</v>
      </c>
      <c r="C15" s="128" t="s">
        <v>135</v>
      </c>
      <c r="D15" s="129">
        <v>143</v>
      </c>
      <c r="E15" s="130">
        <v>72</v>
      </c>
      <c r="F15" s="130">
        <v>5</v>
      </c>
      <c r="G15" s="155">
        <v>215</v>
      </c>
      <c r="H15" s="129">
        <v>140</v>
      </c>
      <c r="I15" s="130">
        <v>47</v>
      </c>
      <c r="J15" s="130">
        <v>5</v>
      </c>
      <c r="K15" s="131">
        <v>187</v>
      </c>
      <c r="L15" s="130">
        <v>283</v>
      </c>
      <c r="M15" s="130">
        <v>119</v>
      </c>
      <c r="N15" s="130">
        <v>10</v>
      </c>
      <c r="O15" s="131">
        <v>402</v>
      </c>
      <c r="P15" s="132">
        <v>881</v>
      </c>
      <c r="Q15" s="173">
        <v>881</v>
      </c>
      <c r="R15" s="174">
        <v>287</v>
      </c>
      <c r="S15" s="174">
        <v>14</v>
      </c>
      <c r="T15" s="133">
        <v>287</v>
      </c>
      <c r="U15" s="133">
        <v>14</v>
      </c>
      <c r="V15" s="8" t="str">
        <f ca="1">IFERROR(__xludf.DUMMYFUNCTION("""COMPUTED_VALUE"""),"Š")</f>
        <v>Š</v>
      </c>
      <c r="W15" s="8" t="str">
        <f ca="1">IFERROR(__xludf.DUMMYFUNCTION("""COMPUTED_VALUE"""),"R")</f>
        <v>R</v>
      </c>
      <c r="X15" s="8" t="str">
        <f ca="1">IFERROR(__xludf.DUMMYFUNCTION("""COMPUTED_VALUE"""),"R")</f>
        <v>R</v>
      </c>
      <c r="Y15" s="8" t="str">
        <f ca="1">IFERROR(__xludf.DUMMYFUNCTION("""COMPUTED_VALUE"""),"M")</f>
        <v>M</v>
      </c>
      <c r="Z15" s="8" t="str">
        <f ca="1">IFERROR(__xludf.DUMMYFUNCTION("""COMPUTED_VALUE"""),"M")</f>
        <v>M</v>
      </c>
    </row>
    <row r="16" spans="1:26" ht="12.75" x14ac:dyDescent="0.2">
      <c r="A16" s="165"/>
      <c r="B16" s="134" t="s">
        <v>136</v>
      </c>
      <c r="C16" s="135" t="s">
        <v>135</v>
      </c>
      <c r="D16" s="136">
        <v>148</v>
      </c>
      <c r="E16" s="137">
        <v>63</v>
      </c>
      <c r="F16" s="137">
        <v>3</v>
      </c>
      <c r="G16" s="156">
        <v>211</v>
      </c>
      <c r="H16" s="136">
        <v>163</v>
      </c>
      <c r="I16" s="137">
        <v>105</v>
      </c>
      <c r="J16" s="137">
        <v>1</v>
      </c>
      <c r="K16" s="138">
        <v>268</v>
      </c>
      <c r="L16" s="137">
        <v>311</v>
      </c>
      <c r="M16" s="137">
        <v>168</v>
      </c>
      <c r="N16" s="137">
        <v>4</v>
      </c>
      <c r="O16" s="138">
        <v>479</v>
      </c>
      <c r="P16" s="139">
        <v>881</v>
      </c>
      <c r="Q16" s="165"/>
      <c r="R16" s="159"/>
      <c r="S16" s="159"/>
      <c r="T16" s="140">
        <v>287</v>
      </c>
      <c r="U16" s="140">
        <v>14</v>
      </c>
      <c r="V16" s="141" t="str">
        <f ca="1">IFERROR(__xludf.DUMMYFUNCTION("""COMPUTED_VALUE"""),"Š")</f>
        <v>Š</v>
      </c>
      <c r="W16" s="141"/>
      <c r="X16" s="141" t="str">
        <f ca="1">IFERROR(__xludf.DUMMYFUNCTION("""COMPUTED_VALUE"""),"R")</f>
        <v>R</v>
      </c>
      <c r="Y16" s="141"/>
      <c r="Z16" s="8" t="str">
        <f ca="1">IFERROR(__xludf.DUMMYFUNCTION("""COMPUTED_VALUE"""),"M")</f>
        <v>M</v>
      </c>
    </row>
    <row r="17" spans="1:26" ht="12.75" x14ac:dyDescent="0.2">
      <c r="A17" s="172">
        <v>8</v>
      </c>
      <c r="B17" s="127" t="s">
        <v>93</v>
      </c>
      <c r="C17" s="128" t="s">
        <v>73</v>
      </c>
      <c r="D17" s="129">
        <v>146</v>
      </c>
      <c r="E17" s="130">
        <v>62</v>
      </c>
      <c r="F17" s="130">
        <v>4</v>
      </c>
      <c r="G17" s="155">
        <v>208</v>
      </c>
      <c r="H17" s="129">
        <v>160</v>
      </c>
      <c r="I17" s="130">
        <v>75</v>
      </c>
      <c r="J17" s="130">
        <v>0</v>
      </c>
      <c r="K17" s="131">
        <v>235</v>
      </c>
      <c r="L17" s="130">
        <v>306</v>
      </c>
      <c r="M17" s="130">
        <v>137</v>
      </c>
      <c r="N17" s="130">
        <v>4</v>
      </c>
      <c r="O17" s="131">
        <v>443</v>
      </c>
      <c r="P17" s="132">
        <v>879</v>
      </c>
      <c r="Q17" s="173">
        <v>879</v>
      </c>
      <c r="R17" s="174">
        <v>290</v>
      </c>
      <c r="S17" s="174">
        <v>5</v>
      </c>
      <c r="T17" s="133">
        <v>290</v>
      </c>
      <c r="U17" s="133">
        <v>5</v>
      </c>
      <c r="V17" s="8" t="str">
        <f ca="1">IFERROR(__xludf.DUMMYFUNCTION("""COMPUTED_VALUE"""),"TV")</f>
        <v>TV</v>
      </c>
      <c r="W17" s="8" t="str">
        <f ca="1">IFERROR(__xludf.DUMMYFUNCTION("""COMPUTED_VALUE"""),"R")</f>
        <v>R</v>
      </c>
      <c r="X17" s="8" t="str">
        <f ca="1">IFERROR(__xludf.DUMMYFUNCTION("""COMPUTED_VALUE"""),"R")</f>
        <v>R</v>
      </c>
      <c r="Y17" s="8" t="str">
        <f ca="1">IFERROR(__xludf.DUMMYFUNCTION("""COMPUTED_VALUE"""),"M")</f>
        <v>M</v>
      </c>
      <c r="Z17" s="8" t="str">
        <f ca="1">IFERROR(__xludf.DUMMYFUNCTION("""COMPUTED_VALUE"""),"M")</f>
        <v>M</v>
      </c>
    </row>
    <row r="18" spans="1:26" ht="12.75" x14ac:dyDescent="0.2">
      <c r="A18" s="165"/>
      <c r="B18" s="134" t="s">
        <v>94</v>
      </c>
      <c r="C18" s="135" t="s">
        <v>73</v>
      </c>
      <c r="D18" s="136">
        <v>146</v>
      </c>
      <c r="E18" s="137">
        <v>72</v>
      </c>
      <c r="F18" s="137">
        <v>0</v>
      </c>
      <c r="G18" s="156">
        <v>218</v>
      </c>
      <c r="H18" s="136">
        <v>137</v>
      </c>
      <c r="I18" s="137">
        <v>81</v>
      </c>
      <c r="J18" s="137">
        <v>1</v>
      </c>
      <c r="K18" s="138">
        <v>218</v>
      </c>
      <c r="L18" s="137">
        <v>283</v>
      </c>
      <c r="M18" s="137">
        <v>153</v>
      </c>
      <c r="N18" s="137">
        <v>1</v>
      </c>
      <c r="O18" s="138">
        <v>436</v>
      </c>
      <c r="P18" s="139">
        <v>879</v>
      </c>
      <c r="Q18" s="165"/>
      <c r="R18" s="159"/>
      <c r="S18" s="159"/>
      <c r="T18" s="140">
        <v>290</v>
      </c>
      <c r="U18" s="140">
        <v>5</v>
      </c>
      <c r="V18" s="141" t="str">
        <f ca="1">IFERROR(__xludf.DUMMYFUNCTION("""COMPUTED_VALUE"""),"TV")</f>
        <v>TV</v>
      </c>
      <c r="W18" s="141"/>
      <c r="X18" s="141" t="str">
        <f ca="1">IFERROR(__xludf.DUMMYFUNCTION("""COMPUTED_VALUE"""),"R")</f>
        <v>R</v>
      </c>
      <c r="Y18" s="141"/>
      <c r="Z18" s="8" t="str">
        <f ca="1">IFERROR(__xludf.DUMMYFUNCTION("""COMPUTED_VALUE"""),"M")</f>
        <v>M</v>
      </c>
    </row>
    <row r="19" spans="1:26" ht="12.75" x14ac:dyDescent="0.2">
      <c r="A19" s="172">
        <v>9</v>
      </c>
      <c r="B19" s="127" t="s">
        <v>88</v>
      </c>
      <c r="C19" s="128" t="s">
        <v>89</v>
      </c>
      <c r="D19" s="129">
        <v>153</v>
      </c>
      <c r="E19" s="130">
        <v>70</v>
      </c>
      <c r="F19" s="130">
        <v>2</v>
      </c>
      <c r="G19" s="155">
        <v>223</v>
      </c>
      <c r="H19" s="129">
        <v>144</v>
      </c>
      <c r="I19" s="130">
        <v>62</v>
      </c>
      <c r="J19" s="130">
        <v>3</v>
      </c>
      <c r="K19" s="131">
        <v>206</v>
      </c>
      <c r="L19" s="130">
        <v>297</v>
      </c>
      <c r="M19" s="130">
        <v>132</v>
      </c>
      <c r="N19" s="130">
        <v>5</v>
      </c>
      <c r="O19" s="131">
        <v>429</v>
      </c>
      <c r="P19" s="132">
        <v>873</v>
      </c>
      <c r="Q19" s="173">
        <v>873</v>
      </c>
      <c r="R19" s="174">
        <v>291</v>
      </c>
      <c r="S19" s="174">
        <v>8</v>
      </c>
      <c r="T19" s="133">
        <v>291</v>
      </c>
      <c r="U19" s="133">
        <v>8</v>
      </c>
      <c r="V19" s="8" t="str">
        <f ca="1">IFERROR(__xludf.DUMMYFUNCTION("""COMPUTED_VALUE"""),"TV")</f>
        <v>TV</v>
      </c>
      <c r="W19" s="8" t="str">
        <f ca="1">IFERROR(__xludf.DUMMYFUNCTION("""COMPUTED_VALUE"""),"R")</f>
        <v>R</v>
      </c>
      <c r="X19" s="8" t="str">
        <f ca="1">IFERROR(__xludf.DUMMYFUNCTION("""COMPUTED_VALUE"""),"R")</f>
        <v>R</v>
      </c>
      <c r="Y19" s="8" t="str">
        <f ca="1">IFERROR(__xludf.DUMMYFUNCTION("""COMPUTED_VALUE"""),"M")</f>
        <v>M</v>
      </c>
      <c r="Z19" s="8" t="str">
        <f ca="1">IFERROR(__xludf.DUMMYFUNCTION("""COMPUTED_VALUE"""),"M")</f>
        <v>M</v>
      </c>
    </row>
    <row r="20" spans="1:26" ht="12.75" x14ac:dyDescent="0.2">
      <c r="A20" s="165"/>
      <c r="B20" s="134" t="s">
        <v>90</v>
      </c>
      <c r="C20" s="135" t="s">
        <v>89</v>
      </c>
      <c r="D20" s="136">
        <v>136</v>
      </c>
      <c r="E20" s="137">
        <v>71</v>
      </c>
      <c r="F20" s="137">
        <v>2</v>
      </c>
      <c r="G20" s="156">
        <v>207</v>
      </c>
      <c r="H20" s="136">
        <v>149</v>
      </c>
      <c r="I20" s="137">
        <v>88</v>
      </c>
      <c r="J20" s="137">
        <v>1</v>
      </c>
      <c r="K20" s="138">
        <v>237</v>
      </c>
      <c r="L20" s="137">
        <v>285</v>
      </c>
      <c r="M20" s="137">
        <v>159</v>
      </c>
      <c r="N20" s="137">
        <v>3</v>
      </c>
      <c r="O20" s="138">
        <v>444</v>
      </c>
      <c r="P20" s="139">
        <v>873</v>
      </c>
      <c r="Q20" s="165"/>
      <c r="R20" s="159"/>
      <c r="S20" s="159"/>
      <c r="T20" s="140">
        <v>291</v>
      </c>
      <c r="U20" s="140">
        <v>8</v>
      </c>
      <c r="V20" s="141" t="str">
        <f ca="1">IFERROR(__xludf.DUMMYFUNCTION("""COMPUTED_VALUE"""),"TV")</f>
        <v>TV</v>
      </c>
      <c r="W20" s="141"/>
      <c r="X20" s="141" t="str">
        <f ca="1">IFERROR(__xludf.DUMMYFUNCTION("""COMPUTED_VALUE"""),"R")</f>
        <v>R</v>
      </c>
      <c r="Y20" s="141"/>
      <c r="Z20" s="8" t="str">
        <f ca="1">IFERROR(__xludf.DUMMYFUNCTION("""COMPUTED_VALUE"""),"M")</f>
        <v>M</v>
      </c>
    </row>
    <row r="21" spans="1:26" ht="12.75" x14ac:dyDescent="0.2">
      <c r="A21" s="172">
        <v>10</v>
      </c>
      <c r="B21" s="127" t="s">
        <v>70</v>
      </c>
      <c r="C21" s="128" t="s">
        <v>49</v>
      </c>
      <c r="D21" s="129">
        <v>141</v>
      </c>
      <c r="E21" s="130">
        <v>71</v>
      </c>
      <c r="F21" s="130">
        <v>3</v>
      </c>
      <c r="G21" s="155">
        <v>212</v>
      </c>
      <c r="H21" s="129">
        <v>142</v>
      </c>
      <c r="I21" s="130">
        <v>68</v>
      </c>
      <c r="J21" s="130">
        <v>1</v>
      </c>
      <c r="K21" s="131">
        <v>210</v>
      </c>
      <c r="L21" s="130">
        <v>283</v>
      </c>
      <c r="M21" s="130">
        <v>139</v>
      </c>
      <c r="N21" s="130">
        <v>4</v>
      </c>
      <c r="O21" s="131">
        <v>422</v>
      </c>
      <c r="P21" s="132">
        <v>866</v>
      </c>
      <c r="Q21" s="173">
        <v>866</v>
      </c>
      <c r="R21" s="174">
        <v>280</v>
      </c>
      <c r="S21" s="174">
        <v>6</v>
      </c>
      <c r="T21" s="133">
        <v>280</v>
      </c>
      <c r="U21" s="133">
        <v>6</v>
      </c>
      <c r="V21" s="8" t="str">
        <f ca="1">IFERROR(__xludf.DUMMYFUNCTION("""COMPUTED_VALUE"""),"Š")</f>
        <v>Š</v>
      </c>
      <c r="W21" s="8" t="str">
        <f ca="1">IFERROR(__xludf.DUMMYFUNCTION("""COMPUTED_VALUE"""),"R")</f>
        <v>R</v>
      </c>
      <c r="X21" s="8" t="str">
        <f ca="1">IFERROR(__xludf.DUMMYFUNCTION("""COMPUTED_VALUE"""),"R")</f>
        <v>R</v>
      </c>
      <c r="Y21" s="8" t="str">
        <f ca="1">IFERROR(__xludf.DUMMYFUNCTION("""COMPUTED_VALUE"""),"S")</f>
        <v>S</v>
      </c>
      <c r="Z21" s="8" t="str">
        <f ca="1">IFERROR(__xludf.DUMMYFUNCTION("""COMPUTED_VALUE"""),"S")</f>
        <v>S</v>
      </c>
    </row>
    <row r="22" spans="1:26" ht="12.75" x14ac:dyDescent="0.2">
      <c r="A22" s="165"/>
      <c r="B22" s="134" t="s">
        <v>105</v>
      </c>
      <c r="C22" s="135" t="s">
        <v>49</v>
      </c>
      <c r="D22" s="136">
        <v>155</v>
      </c>
      <c r="E22" s="137">
        <v>71</v>
      </c>
      <c r="F22" s="137">
        <v>1</v>
      </c>
      <c r="G22" s="156">
        <v>226</v>
      </c>
      <c r="H22" s="136">
        <v>148</v>
      </c>
      <c r="I22" s="137">
        <v>70</v>
      </c>
      <c r="J22" s="137">
        <v>1</v>
      </c>
      <c r="K22" s="138">
        <v>218</v>
      </c>
      <c r="L22" s="137">
        <v>303</v>
      </c>
      <c r="M22" s="137">
        <v>141</v>
      </c>
      <c r="N22" s="137">
        <v>2</v>
      </c>
      <c r="O22" s="138">
        <v>444</v>
      </c>
      <c r="P22" s="139">
        <v>866</v>
      </c>
      <c r="Q22" s="165"/>
      <c r="R22" s="159"/>
      <c r="S22" s="159"/>
      <c r="T22" s="140">
        <v>280</v>
      </c>
      <c r="U22" s="140">
        <v>6</v>
      </c>
      <c r="V22" s="141" t="str">
        <f ca="1">IFERROR(__xludf.DUMMYFUNCTION("""COMPUTED_VALUE"""),"Š")</f>
        <v>Š</v>
      </c>
      <c r="W22" s="141"/>
      <c r="X22" s="141" t="str">
        <f ca="1">IFERROR(__xludf.DUMMYFUNCTION("""COMPUTED_VALUE"""),"R")</f>
        <v>R</v>
      </c>
      <c r="Y22" s="141"/>
      <c r="Z22" s="8" t="str">
        <f ca="1">IFERROR(__xludf.DUMMYFUNCTION("""COMPUTED_VALUE"""),"S")</f>
        <v>S</v>
      </c>
    </row>
    <row r="23" spans="1:26" ht="12.75" x14ac:dyDescent="0.2">
      <c r="A23" s="172">
        <v>11</v>
      </c>
      <c r="B23" s="127" t="s">
        <v>128</v>
      </c>
      <c r="C23" s="128" t="s">
        <v>126</v>
      </c>
      <c r="D23" s="129">
        <v>151</v>
      </c>
      <c r="E23" s="130">
        <v>68</v>
      </c>
      <c r="F23" s="130">
        <v>2</v>
      </c>
      <c r="G23" s="155">
        <v>219</v>
      </c>
      <c r="H23" s="129">
        <v>152</v>
      </c>
      <c r="I23" s="130">
        <v>72</v>
      </c>
      <c r="J23" s="130">
        <v>4</v>
      </c>
      <c r="K23" s="131">
        <v>224</v>
      </c>
      <c r="L23" s="130">
        <v>303</v>
      </c>
      <c r="M23" s="130">
        <v>140</v>
      </c>
      <c r="N23" s="130">
        <v>6</v>
      </c>
      <c r="O23" s="131">
        <v>443</v>
      </c>
      <c r="P23" s="132">
        <v>858</v>
      </c>
      <c r="Q23" s="173">
        <v>858</v>
      </c>
      <c r="R23" s="174">
        <v>270</v>
      </c>
      <c r="S23" s="174">
        <v>14</v>
      </c>
      <c r="T23" s="133">
        <v>270</v>
      </c>
      <c r="U23" s="133">
        <v>14</v>
      </c>
      <c r="V23" s="8" t="str">
        <f ca="1">IFERROR(__xludf.DUMMYFUNCTION("""COMPUTED_VALUE"""),"Š")</f>
        <v>Š</v>
      </c>
      <c r="W23" s="8" t="str">
        <f ca="1">IFERROR(__xludf.DUMMYFUNCTION("""COMPUTED_VALUE"""),"N")</f>
        <v>N</v>
      </c>
      <c r="X23" s="8" t="str">
        <f ca="1">IFERROR(__xludf.DUMMYFUNCTION("""COMPUTED_VALUE"""),"N")</f>
        <v>N</v>
      </c>
      <c r="Y23" s="8" t="str">
        <f ca="1">IFERROR(__xludf.DUMMYFUNCTION("""COMPUTED_VALUE"""),"M")</f>
        <v>M</v>
      </c>
      <c r="Z23" s="8" t="str">
        <f ca="1">IFERROR(__xludf.DUMMYFUNCTION("""COMPUTED_VALUE"""),"M")</f>
        <v>M</v>
      </c>
    </row>
    <row r="24" spans="1:26" ht="12.75" x14ac:dyDescent="0.2">
      <c r="A24" s="165"/>
      <c r="B24" s="134" t="s">
        <v>129</v>
      </c>
      <c r="C24" s="135" t="s">
        <v>126</v>
      </c>
      <c r="D24" s="136">
        <v>133</v>
      </c>
      <c r="E24" s="137">
        <v>52</v>
      </c>
      <c r="F24" s="137">
        <v>7</v>
      </c>
      <c r="G24" s="156">
        <v>185</v>
      </c>
      <c r="H24" s="136">
        <v>152</v>
      </c>
      <c r="I24" s="137">
        <v>78</v>
      </c>
      <c r="J24" s="137">
        <v>1</v>
      </c>
      <c r="K24" s="138">
        <v>230</v>
      </c>
      <c r="L24" s="137">
        <v>285</v>
      </c>
      <c r="M24" s="137">
        <v>130</v>
      </c>
      <c r="N24" s="137">
        <v>8</v>
      </c>
      <c r="O24" s="138">
        <v>415</v>
      </c>
      <c r="P24" s="139">
        <v>858</v>
      </c>
      <c r="Q24" s="165"/>
      <c r="R24" s="159"/>
      <c r="S24" s="159"/>
      <c r="T24" s="140">
        <v>270</v>
      </c>
      <c r="U24" s="140">
        <v>14</v>
      </c>
      <c r="V24" s="141" t="str">
        <f ca="1">IFERROR(__xludf.DUMMYFUNCTION("""COMPUTED_VALUE"""),"Š")</f>
        <v>Š</v>
      </c>
      <c r="W24" s="141"/>
      <c r="X24" s="141" t="str">
        <f ca="1">IFERROR(__xludf.DUMMYFUNCTION("""COMPUTED_VALUE"""),"N")</f>
        <v>N</v>
      </c>
      <c r="Y24" s="141"/>
      <c r="Z24" s="8" t="str">
        <f ca="1">IFERROR(__xludf.DUMMYFUNCTION("""COMPUTED_VALUE"""),"M")</f>
        <v>M</v>
      </c>
    </row>
    <row r="25" spans="1:26" ht="12.75" x14ac:dyDescent="0.2">
      <c r="A25" s="172">
        <v>12</v>
      </c>
      <c r="B25" s="127" t="s">
        <v>91</v>
      </c>
      <c r="C25" s="128" t="s">
        <v>49</v>
      </c>
      <c r="D25" s="129">
        <v>136</v>
      </c>
      <c r="E25" s="130">
        <v>85</v>
      </c>
      <c r="F25" s="130">
        <v>0</v>
      </c>
      <c r="G25" s="155">
        <v>221</v>
      </c>
      <c r="H25" s="129">
        <v>146</v>
      </c>
      <c r="I25" s="130">
        <v>63</v>
      </c>
      <c r="J25" s="130">
        <v>2</v>
      </c>
      <c r="K25" s="131">
        <v>209</v>
      </c>
      <c r="L25" s="130">
        <v>282</v>
      </c>
      <c r="M25" s="130">
        <v>148</v>
      </c>
      <c r="N25" s="130">
        <v>2</v>
      </c>
      <c r="O25" s="131">
        <v>430</v>
      </c>
      <c r="P25" s="132">
        <v>856</v>
      </c>
      <c r="Q25" s="173">
        <v>856</v>
      </c>
      <c r="R25" s="174">
        <v>269</v>
      </c>
      <c r="S25" s="174">
        <v>9</v>
      </c>
      <c r="T25" s="133">
        <v>269</v>
      </c>
      <c r="U25" s="133">
        <v>9</v>
      </c>
      <c r="V25" s="8" t="str">
        <f ca="1">IFERROR(__xludf.DUMMYFUNCTION("""COMPUTED_VALUE"""),"Š")</f>
        <v>Š</v>
      </c>
      <c r="W25" s="8" t="str">
        <f ca="1">IFERROR(__xludf.DUMMYFUNCTION("""COMPUTED_VALUE"""),"R")</f>
        <v>R</v>
      </c>
      <c r="X25" s="8" t="str">
        <f ca="1">IFERROR(__xludf.DUMMYFUNCTION("""COMPUTED_VALUE"""),"R")</f>
        <v>R</v>
      </c>
      <c r="Y25" s="8" t="str">
        <f ca="1">IFERROR(__xludf.DUMMYFUNCTION("""COMPUTED_VALUE"""),"S")</f>
        <v>S</v>
      </c>
      <c r="Z25" s="8" t="str">
        <f ca="1">IFERROR(__xludf.DUMMYFUNCTION("""COMPUTED_VALUE"""),"S")</f>
        <v>S</v>
      </c>
    </row>
    <row r="26" spans="1:26" ht="12.75" x14ac:dyDescent="0.2">
      <c r="A26" s="165"/>
      <c r="B26" s="134" t="s">
        <v>92</v>
      </c>
      <c r="C26" s="135" t="s">
        <v>49</v>
      </c>
      <c r="D26" s="136">
        <v>149</v>
      </c>
      <c r="E26" s="137">
        <v>60</v>
      </c>
      <c r="F26" s="137">
        <v>4</v>
      </c>
      <c r="G26" s="156">
        <v>209</v>
      </c>
      <c r="H26" s="136">
        <v>156</v>
      </c>
      <c r="I26" s="137">
        <v>61</v>
      </c>
      <c r="J26" s="137">
        <v>3</v>
      </c>
      <c r="K26" s="138">
        <v>217</v>
      </c>
      <c r="L26" s="137">
        <v>305</v>
      </c>
      <c r="M26" s="137">
        <v>121</v>
      </c>
      <c r="N26" s="137">
        <v>7</v>
      </c>
      <c r="O26" s="138">
        <v>426</v>
      </c>
      <c r="P26" s="139">
        <v>856</v>
      </c>
      <c r="Q26" s="165"/>
      <c r="R26" s="159"/>
      <c r="S26" s="159"/>
      <c r="T26" s="140">
        <v>269</v>
      </c>
      <c r="U26" s="140">
        <v>9</v>
      </c>
      <c r="V26" s="141" t="str">
        <f ca="1">IFERROR(__xludf.DUMMYFUNCTION("""COMPUTED_VALUE"""),"Š")</f>
        <v>Š</v>
      </c>
      <c r="W26" s="141"/>
      <c r="X26" s="141" t="str">
        <f ca="1">IFERROR(__xludf.DUMMYFUNCTION("""COMPUTED_VALUE"""),"R")</f>
        <v>R</v>
      </c>
      <c r="Y26" s="141"/>
      <c r="Z26" s="8" t="str">
        <f ca="1">IFERROR(__xludf.DUMMYFUNCTION("""COMPUTED_VALUE"""),"S")</f>
        <v>S</v>
      </c>
    </row>
    <row r="27" spans="1:26" ht="12.75" x14ac:dyDescent="0.2">
      <c r="A27" s="172">
        <v>13</v>
      </c>
      <c r="B27" s="127" t="s">
        <v>83</v>
      </c>
      <c r="C27" s="128" t="s">
        <v>73</v>
      </c>
      <c r="D27" s="129">
        <v>147</v>
      </c>
      <c r="E27" s="130">
        <v>69</v>
      </c>
      <c r="F27" s="130">
        <v>3</v>
      </c>
      <c r="G27" s="155">
        <v>216</v>
      </c>
      <c r="H27" s="129">
        <v>153</v>
      </c>
      <c r="I27" s="130">
        <v>72</v>
      </c>
      <c r="J27" s="130">
        <v>2</v>
      </c>
      <c r="K27" s="131">
        <v>225</v>
      </c>
      <c r="L27" s="130">
        <v>300</v>
      </c>
      <c r="M27" s="130">
        <v>141</v>
      </c>
      <c r="N27" s="130">
        <v>5</v>
      </c>
      <c r="O27" s="131">
        <v>441</v>
      </c>
      <c r="P27" s="132">
        <v>845</v>
      </c>
      <c r="Q27" s="173">
        <v>845</v>
      </c>
      <c r="R27" s="174">
        <v>272</v>
      </c>
      <c r="S27" s="174">
        <v>11</v>
      </c>
      <c r="T27" s="133">
        <v>272</v>
      </c>
      <c r="U27" s="133">
        <v>11</v>
      </c>
      <c r="V27" s="8" t="str">
        <f ca="1">IFERROR(__xludf.DUMMYFUNCTION("""COMPUTED_VALUE"""),"TV")</f>
        <v>TV</v>
      </c>
      <c r="W27" s="8" t="str">
        <f ca="1">IFERROR(__xludf.DUMMYFUNCTION("""COMPUTED_VALUE"""),"R")</f>
        <v>R</v>
      </c>
      <c r="X27" s="8" t="str">
        <f ca="1">IFERROR(__xludf.DUMMYFUNCTION("""COMPUTED_VALUE"""),"R")</f>
        <v>R</v>
      </c>
      <c r="Y27" s="8" t="str">
        <f ca="1">IFERROR(__xludf.DUMMYFUNCTION("""COMPUTED_VALUE"""),"M")</f>
        <v>M</v>
      </c>
      <c r="Z27" s="8" t="str">
        <f ca="1">IFERROR(__xludf.DUMMYFUNCTION("""COMPUTED_VALUE"""),"M")</f>
        <v>M</v>
      </c>
    </row>
    <row r="28" spans="1:26" ht="12.75" x14ac:dyDescent="0.2">
      <c r="A28" s="165"/>
      <c r="B28" s="134" t="s">
        <v>84</v>
      </c>
      <c r="C28" s="135" t="s">
        <v>73</v>
      </c>
      <c r="D28" s="136">
        <v>134</v>
      </c>
      <c r="E28" s="137">
        <v>61</v>
      </c>
      <c r="F28" s="137">
        <v>5</v>
      </c>
      <c r="G28" s="156">
        <v>195</v>
      </c>
      <c r="H28" s="136">
        <v>139</v>
      </c>
      <c r="I28" s="137">
        <v>70</v>
      </c>
      <c r="J28" s="137">
        <v>1</v>
      </c>
      <c r="K28" s="138">
        <v>209</v>
      </c>
      <c r="L28" s="137">
        <v>273</v>
      </c>
      <c r="M28" s="137">
        <v>131</v>
      </c>
      <c r="N28" s="137">
        <v>6</v>
      </c>
      <c r="O28" s="138">
        <v>404</v>
      </c>
      <c r="P28" s="139">
        <v>845</v>
      </c>
      <c r="Q28" s="165"/>
      <c r="R28" s="159"/>
      <c r="S28" s="159"/>
      <c r="T28" s="140">
        <v>272</v>
      </c>
      <c r="U28" s="140">
        <v>11</v>
      </c>
      <c r="V28" s="141" t="str">
        <f ca="1">IFERROR(__xludf.DUMMYFUNCTION("""COMPUTED_VALUE"""),"TV")</f>
        <v>TV</v>
      </c>
      <c r="W28" s="141"/>
      <c r="X28" s="141" t="str">
        <f ca="1">IFERROR(__xludf.DUMMYFUNCTION("""COMPUTED_VALUE"""),"R")</f>
        <v>R</v>
      </c>
      <c r="Y28" s="141"/>
      <c r="Z28" s="8" t="str">
        <f ca="1">IFERROR(__xludf.DUMMYFUNCTION("""COMPUTED_VALUE"""),"M")</f>
        <v>M</v>
      </c>
    </row>
    <row r="29" spans="1:26" ht="12.75" x14ac:dyDescent="0.2">
      <c r="A29" s="172">
        <v>14</v>
      </c>
      <c r="B29" s="127" t="s">
        <v>53</v>
      </c>
      <c r="C29" s="128" t="s">
        <v>49</v>
      </c>
      <c r="D29" s="129">
        <v>142</v>
      </c>
      <c r="E29" s="130">
        <v>52</v>
      </c>
      <c r="F29" s="130">
        <v>4</v>
      </c>
      <c r="G29" s="155">
        <v>194</v>
      </c>
      <c r="H29" s="129">
        <v>146</v>
      </c>
      <c r="I29" s="130">
        <v>79</v>
      </c>
      <c r="J29" s="130">
        <v>0</v>
      </c>
      <c r="K29" s="131">
        <v>225</v>
      </c>
      <c r="L29" s="130">
        <v>288</v>
      </c>
      <c r="M29" s="130">
        <v>131</v>
      </c>
      <c r="N29" s="130">
        <v>4</v>
      </c>
      <c r="O29" s="131">
        <v>419</v>
      </c>
      <c r="P29" s="132">
        <v>838</v>
      </c>
      <c r="Q29" s="173">
        <v>838</v>
      </c>
      <c r="R29" s="174">
        <v>255</v>
      </c>
      <c r="S29" s="174">
        <v>11</v>
      </c>
      <c r="T29" s="133">
        <v>255</v>
      </c>
      <c r="U29" s="133">
        <v>11</v>
      </c>
      <c r="V29" s="8" t="str">
        <f ca="1">IFERROR(__xludf.DUMMYFUNCTION("""COMPUTED_VALUE"""),"Š")</f>
        <v>Š</v>
      </c>
      <c r="W29" s="8" t="str">
        <f ca="1">IFERROR(__xludf.DUMMYFUNCTION("""COMPUTED_VALUE"""),"R")</f>
        <v>R</v>
      </c>
      <c r="X29" s="8" t="str">
        <f ca="1">IFERROR(__xludf.DUMMYFUNCTION("""COMPUTED_VALUE"""),"R")</f>
        <v>R</v>
      </c>
      <c r="Y29" s="8" t="str">
        <f ca="1">IFERROR(__xludf.DUMMYFUNCTION("""COMPUTED_VALUE"""),"M")</f>
        <v>M</v>
      </c>
      <c r="Z29" s="8" t="str">
        <f ca="1">IFERROR(__xludf.DUMMYFUNCTION("""COMPUTED_VALUE"""),"M")</f>
        <v>M</v>
      </c>
    </row>
    <row r="30" spans="1:26" ht="12.75" x14ac:dyDescent="0.2">
      <c r="A30" s="165"/>
      <c r="B30" s="134" t="s">
        <v>81</v>
      </c>
      <c r="C30" s="135" t="s">
        <v>49</v>
      </c>
      <c r="D30" s="136">
        <v>150</v>
      </c>
      <c r="E30" s="137">
        <v>72</v>
      </c>
      <c r="F30" s="137">
        <v>1</v>
      </c>
      <c r="G30" s="156">
        <v>222</v>
      </c>
      <c r="H30" s="136">
        <v>145</v>
      </c>
      <c r="I30" s="137">
        <v>52</v>
      </c>
      <c r="J30" s="137">
        <v>6</v>
      </c>
      <c r="K30" s="138">
        <v>197</v>
      </c>
      <c r="L30" s="137">
        <v>295</v>
      </c>
      <c r="M30" s="137">
        <v>124</v>
      </c>
      <c r="N30" s="137">
        <v>7</v>
      </c>
      <c r="O30" s="138">
        <v>419</v>
      </c>
      <c r="P30" s="139">
        <v>838</v>
      </c>
      <c r="Q30" s="165"/>
      <c r="R30" s="159"/>
      <c r="S30" s="159"/>
      <c r="T30" s="140">
        <v>255</v>
      </c>
      <c r="U30" s="140">
        <v>11</v>
      </c>
      <c r="V30" s="141" t="str">
        <f ca="1">IFERROR(__xludf.DUMMYFUNCTION("""COMPUTED_VALUE"""),"Š")</f>
        <v>Š</v>
      </c>
      <c r="W30" s="141"/>
      <c r="X30" s="141" t="str">
        <f ca="1">IFERROR(__xludf.DUMMYFUNCTION("""COMPUTED_VALUE"""),"R")</f>
        <v>R</v>
      </c>
      <c r="Y30" s="141"/>
      <c r="Z30" s="8" t="str">
        <f ca="1">IFERROR(__xludf.DUMMYFUNCTION("""COMPUTED_VALUE"""),"M")</f>
        <v>M</v>
      </c>
    </row>
    <row r="31" spans="1:26" ht="12.75" x14ac:dyDescent="0.2">
      <c r="A31" s="172">
        <v>15</v>
      </c>
      <c r="B31" s="127" t="s">
        <v>87</v>
      </c>
      <c r="C31" s="128" t="s">
        <v>49</v>
      </c>
      <c r="D31" s="129">
        <v>143</v>
      </c>
      <c r="E31" s="130">
        <v>62</v>
      </c>
      <c r="F31" s="130">
        <v>2</v>
      </c>
      <c r="G31" s="155">
        <v>205</v>
      </c>
      <c r="H31" s="129">
        <v>142</v>
      </c>
      <c r="I31" s="130">
        <v>79</v>
      </c>
      <c r="J31" s="130">
        <v>0</v>
      </c>
      <c r="K31" s="131">
        <v>221</v>
      </c>
      <c r="L31" s="130">
        <v>285</v>
      </c>
      <c r="M31" s="130">
        <v>141</v>
      </c>
      <c r="N31" s="130">
        <v>2</v>
      </c>
      <c r="O31" s="131">
        <v>426</v>
      </c>
      <c r="P31" s="132">
        <v>835</v>
      </c>
      <c r="Q31" s="173">
        <v>835</v>
      </c>
      <c r="R31" s="174">
        <v>248</v>
      </c>
      <c r="S31" s="174">
        <v>12</v>
      </c>
      <c r="T31" s="133">
        <v>248</v>
      </c>
      <c r="U31" s="133">
        <v>12</v>
      </c>
      <c r="V31" s="8" t="str">
        <f ca="1">IFERROR(__xludf.DUMMYFUNCTION("""COMPUTED_VALUE"""),"TV")</f>
        <v>TV</v>
      </c>
      <c r="W31" s="8" t="str">
        <f ca="1">IFERROR(__xludf.DUMMYFUNCTION("""COMPUTED_VALUE"""),"R")</f>
        <v>R</v>
      </c>
      <c r="X31" s="8" t="str">
        <f ca="1">IFERROR(__xludf.DUMMYFUNCTION("""COMPUTED_VALUE"""),"R")</f>
        <v>R</v>
      </c>
      <c r="Y31" s="8" t="str">
        <f ca="1">IFERROR(__xludf.DUMMYFUNCTION("""COMPUTED_VALUE"""),"M")</f>
        <v>M</v>
      </c>
      <c r="Z31" s="8" t="str">
        <f ca="1">IFERROR(__xludf.DUMMYFUNCTION("""COMPUTED_VALUE"""),"M")</f>
        <v>M</v>
      </c>
    </row>
    <row r="32" spans="1:26" ht="12.75" x14ac:dyDescent="0.2">
      <c r="A32" s="165"/>
      <c r="B32" s="134" t="s">
        <v>53</v>
      </c>
      <c r="C32" s="135" t="s">
        <v>49</v>
      </c>
      <c r="D32" s="136">
        <v>156</v>
      </c>
      <c r="E32" s="137">
        <v>53</v>
      </c>
      <c r="F32" s="137">
        <v>5</v>
      </c>
      <c r="G32" s="156">
        <v>209</v>
      </c>
      <c r="H32" s="136">
        <v>146</v>
      </c>
      <c r="I32" s="137">
        <v>54</v>
      </c>
      <c r="J32" s="137">
        <v>5</v>
      </c>
      <c r="K32" s="138">
        <v>200</v>
      </c>
      <c r="L32" s="137">
        <v>302</v>
      </c>
      <c r="M32" s="137">
        <v>107</v>
      </c>
      <c r="N32" s="137">
        <v>10</v>
      </c>
      <c r="O32" s="138">
        <v>409</v>
      </c>
      <c r="P32" s="139">
        <v>835</v>
      </c>
      <c r="Q32" s="165"/>
      <c r="R32" s="159"/>
      <c r="S32" s="159"/>
      <c r="T32" s="140">
        <v>248</v>
      </c>
      <c r="U32" s="140">
        <v>12</v>
      </c>
      <c r="V32" s="141" t="str">
        <f ca="1">IFERROR(__xludf.DUMMYFUNCTION("""COMPUTED_VALUE"""),"TV")</f>
        <v>TV</v>
      </c>
      <c r="W32" s="141"/>
      <c r="X32" s="141" t="str">
        <f ca="1">IFERROR(__xludf.DUMMYFUNCTION("""COMPUTED_VALUE"""),"R")</f>
        <v>R</v>
      </c>
      <c r="Y32" s="141"/>
      <c r="Z32" s="8" t="str">
        <f ca="1">IFERROR(__xludf.DUMMYFUNCTION("""COMPUTED_VALUE"""),"M")</f>
        <v>M</v>
      </c>
    </row>
    <row r="33" spans="1:26" ht="12.75" x14ac:dyDescent="0.2">
      <c r="A33" s="172">
        <v>16</v>
      </c>
      <c r="B33" s="127" t="s">
        <v>140</v>
      </c>
      <c r="C33" s="128" t="s">
        <v>141</v>
      </c>
      <c r="D33" s="129">
        <v>145</v>
      </c>
      <c r="E33" s="130">
        <v>62</v>
      </c>
      <c r="F33" s="130">
        <v>2</v>
      </c>
      <c r="G33" s="155">
        <v>207</v>
      </c>
      <c r="H33" s="129">
        <v>147</v>
      </c>
      <c r="I33" s="130">
        <v>62</v>
      </c>
      <c r="J33" s="130">
        <v>5</v>
      </c>
      <c r="K33" s="131">
        <v>209</v>
      </c>
      <c r="L33" s="130">
        <v>292</v>
      </c>
      <c r="M33" s="130">
        <v>124</v>
      </c>
      <c r="N33" s="130">
        <v>7</v>
      </c>
      <c r="O33" s="131">
        <v>416</v>
      </c>
      <c r="P33" s="132">
        <v>833</v>
      </c>
      <c r="Q33" s="173">
        <v>833</v>
      </c>
      <c r="R33" s="174">
        <v>244</v>
      </c>
      <c r="S33" s="174">
        <v>17</v>
      </c>
      <c r="T33" s="133">
        <v>244</v>
      </c>
      <c r="U33" s="133">
        <v>17</v>
      </c>
      <c r="V33" s="8" t="str">
        <f ca="1">IFERROR(__xludf.DUMMYFUNCTION("""COMPUTED_VALUE"""),"TV")</f>
        <v>TV</v>
      </c>
      <c r="W33" s="8" t="str">
        <f ca="1">IFERROR(__xludf.DUMMYFUNCTION("""COMPUTED_VALUE"""),"R")</f>
        <v>R</v>
      </c>
      <c r="X33" s="8" t="str">
        <f ca="1">IFERROR(__xludf.DUMMYFUNCTION("""COMPUTED_VALUE"""),"R")</f>
        <v>R</v>
      </c>
      <c r="Y33" s="8" t="str">
        <f ca="1">IFERROR(__xludf.DUMMYFUNCTION("""COMPUTED_VALUE"""),"S")</f>
        <v>S</v>
      </c>
      <c r="Z33" s="8" t="str">
        <f ca="1">IFERROR(__xludf.DUMMYFUNCTION("""COMPUTED_VALUE"""),"S")</f>
        <v>S</v>
      </c>
    </row>
    <row r="34" spans="1:26" ht="12.75" x14ac:dyDescent="0.2">
      <c r="A34" s="165"/>
      <c r="B34" s="134" t="s">
        <v>142</v>
      </c>
      <c r="C34" s="135" t="s">
        <v>143</v>
      </c>
      <c r="D34" s="136">
        <v>153</v>
      </c>
      <c r="E34" s="137">
        <v>68</v>
      </c>
      <c r="F34" s="137">
        <v>5</v>
      </c>
      <c r="G34" s="156">
        <v>221</v>
      </c>
      <c r="H34" s="136">
        <v>144</v>
      </c>
      <c r="I34" s="137">
        <v>52</v>
      </c>
      <c r="J34" s="137">
        <v>5</v>
      </c>
      <c r="K34" s="138">
        <v>196</v>
      </c>
      <c r="L34" s="137">
        <v>297</v>
      </c>
      <c r="M34" s="137">
        <v>120</v>
      </c>
      <c r="N34" s="137">
        <v>10</v>
      </c>
      <c r="O34" s="138">
        <v>417</v>
      </c>
      <c r="P34" s="139">
        <v>833</v>
      </c>
      <c r="Q34" s="165"/>
      <c r="R34" s="159"/>
      <c r="S34" s="159"/>
      <c r="T34" s="140">
        <v>244</v>
      </c>
      <c r="U34" s="140">
        <v>17</v>
      </c>
      <c r="V34" s="141" t="str">
        <f ca="1">IFERROR(__xludf.DUMMYFUNCTION("""COMPUTED_VALUE"""),"TV")</f>
        <v>TV</v>
      </c>
      <c r="W34" s="141"/>
      <c r="X34" s="141" t="str">
        <f ca="1">IFERROR(__xludf.DUMMYFUNCTION("""COMPUTED_VALUE"""),"R")</f>
        <v>R</v>
      </c>
      <c r="Y34" s="141"/>
      <c r="Z34" s="8" t="str">
        <f ca="1">IFERROR(__xludf.DUMMYFUNCTION("""COMPUTED_VALUE"""),"S")</f>
        <v>S</v>
      </c>
    </row>
    <row r="35" spans="1:26" ht="12.75" x14ac:dyDescent="0.2">
      <c r="A35" s="172">
        <v>17</v>
      </c>
      <c r="B35" s="127" t="s">
        <v>82</v>
      </c>
      <c r="C35" s="128" t="s">
        <v>49</v>
      </c>
      <c r="D35" s="129">
        <v>147</v>
      </c>
      <c r="E35" s="130">
        <v>54</v>
      </c>
      <c r="F35" s="130">
        <v>5</v>
      </c>
      <c r="G35" s="155">
        <v>201</v>
      </c>
      <c r="H35" s="129">
        <v>139</v>
      </c>
      <c r="I35" s="130">
        <v>59</v>
      </c>
      <c r="J35" s="130">
        <v>3</v>
      </c>
      <c r="K35" s="131">
        <v>198</v>
      </c>
      <c r="L35" s="130">
        <v>286</v>
      </c>
      <c r="M35" s="130">
        <v>113</v>
      </c>
      <c r="N35" s="130">
        <v>8</v>
      </c>
      <c r="O35" s="131">
        <v>399</v>
      </c>
      <c r="P35" s="132">
        <v>818</v>
      </c>
      <c r="Q35" s="173">
        <v>818</v>
      </c>
      <c r="R35" s="174">
        <v>255</v>
      </c>
      <c r="S35" s="174">
        <v>15</v>
      </c>
      <c r="T35" s="133">
        <v>255</v>
      </c>
      <c r="U35" s="133">
        <v>15</v>
      </c>
      <c r="V35" s="8" t="str">
        <f ca="1">IFERROR(__xludf.DUMMYFUNCTION("""COMPUTED_VALUE"""),"Š")</f>
        <v>Š</v>
      </c>
      <c r="W35" s="8" t="str">
        <f ca="1">IFERROR(__xludf.DUMMYFUNCTION("""COMPUTED_VALUE"""),"R")</f>
        <v>R</v>
      </c>
      <c r="X35" s="8" t="str">
        <f ca="1">IFERROR(__xludf.DUMMYFUNCTION("""COMPUTED_VALUE"""),"R")</f>
        <v>R</v>
      </c>
      <c r="Y35" s="8" t="str">
        <f ca="1">IFERROR(__xludf.DUMMYFUNCTION("""COMPUTED_VALUE"""),"M")</f>
        <v>M</v>
      </c>
      <c r="Z35" s="8" t="str">
        <f ca="1">IFERROR(__xludf.DUMMYFUNCTION("""COMPUTED_VALUE"""),"M")</f>
        <v>M</v>
      </c>
    </row>
    <row r="36" spans="1:26" ht="12.75" x14ac:dyDescent="0.2">
      <c r="A36" s="165"/>
      <c r="B36" s="134" t="s">
        <v>53</v>
      </c>
      <c r="C36" s="135" t="s">
        <v>49</v>
      </c>
      <c r="D36" s="136">
        <v>135</v>
      </c>
      <c r="E36" s="137">
        <v>71</v>
      </c>
      <c r="F36" s="137">
        <v>5</v>
      </c>
      <c r="G36" s="156">
        <v>206</v>
      </c>
      <c r="H36" s="136">
        <v>142</v>
      </c>
      <c r="I36" s="137">
        <v>71</v>
      </c>
      <c r="J36" s="137">
        <v>2</v>
      </c>
      <c r="K36" s="138">
        <v>213</v>
      </c>
      <c r="L36" s="137">
        <v>277</v>
      </c>
      <c r="M36" s="137">
        <v>142</v>
      </c>
      <c r="N36" s="137">
        <v>7</v>
      </c>
      <c r="O36" s="138">
        <v>419</v>
      </c>
      <c r="P36" s="139">
        <v>818</v>
      </c>
      <c r="Q36" s="165"/>
      <c r="R36" s="159"/>
      <c r="S36" s="159"/>
      <c r="T36" s="140">
        <v>255</v>
      </c>
      <c r="U36" s="140">
        <v>15</v>
      </c>
      <c r="V36" s="141" t="str">
        <f ca="1">IFERROR(__xludf.DUMMYFUNCTION("""COMPUTED_VALUE"""),"Š")</f>
        <v>Š</v>
      </c>
      <c r="W36" s="141"/>
      <c r="X36" s="141" t="str">
        <f ca="1">IFERROR(__xludf.DUMMYFUNCTION("""COMPUTED_VALUE"""),"R")</f>
        <v>R</v>
      </c>
      <c r="Y36" s="141"/>
      <c r="Z36" s="8" t="str">
        <f ca="1">IFERROR(__xludf.DUMMYFUNCTION("""COMPUTED_VALUE"""),"M")</f>
        <v>M</v>
      </c>
    </row>
    <row r="37" spans="1:26" ht="12.75" x14ac:dyDescent="0.2">
      <c r="A37" s="172">
        <v>18</v>
      </c>
      <c r="B37" s="127" t="s">
        <v>117</v>
      </c>
      <c r="C37" s="128" t="s">
        <v>118</v>
      </c>
      <c r="D37" s="129">
        <v>139</v>
      </c>
      <c r="E37" s="130">
        <v>61</v>
      </c>
      <c r="F37" s="130">
        <v>2</v>
      </c>
      <c r="G37" s="155">
        <v>200</v>
      </c>
      <c r="H37" s="129">
        <v>144</v>
      </c>
      <c r="I37" s="130">
        <v>53</v>
      </c>
      <c r="J37" s="130">
        <v>5</v>
      </c>
      <c r="K37" s="131">
        <v>197</v>
      </c>
      <c r="L37" s="130">
        <v>283</v>
      </c>
      <c r="M37" s="130">
        <v>114</v>
      </c>
      <c r="N37" s="130">
        <v>7</v>
      </c>
      <c r="O37" s="131">
        <v>397</v>
      </c>
      <c r="P37" s="132">
        <v>801</v>
      </c>
      <c r="Q37" s="173">
        <v>801</v>
      </c>
      <c r="R37" s="174">
        <v>228</v>
      </c>
      <c r="S37" s="174">
        <v>14</v>
      </c>
      <c r="T37" s="133">
        <v>228</v>
      </c>
      <c r="U37" s="133">
        <v>14</v>
      </c>
      <c r="V37" s="8" t="str">
        <f ca="1">IFERROR(__xludf.DUMMYFUNCTION("""COMPUTED_VALUE"""),"Š")</f>
        <v>Š</v>
      </c>
      <c r="W37" s="8" t="str">
        <f ca="1">IFERROR(__xludf.DUMMYFUNCTION("""COMPUTED_VALUE"""),"R")</f>
        <v>R</v>
      </c>
      <c r="X37" s="8" t="str">
        <f ca="1">IFERROR(__xludf.DUMMYFUNCTION("""COMPUTED_VALUE"""),"R")</f>
        <v>R</v>
      </c>
      <c r="Y37" s="8" t="str">
        <f ca="1">IFERROR(__xludf.DUMMYFUNCTION("""COMPUTED_VALUE"""),"M")</f>
        <v>M</v>
      </c>
      <c r="Z37" s="8" t="str">
        <f ca="1">IFERROR(__xludf.DUMMYFUNCTION("""COMPUTED_VALUE"""),"M")</f>
        <v>M</v>
      </c>
    </row>
    <row r="38" spans="1:26" ht="12.75" x14ac:dyDescent="0.2">
      <c r="A38" s="165"/>
      <c r="B38" s="134" t="s">
        <v>119</v>
      </c>
      <c r="C38" s="135" t="s">
        <v>118</v>
      </c>
      <c r="D38" s="136">
        <v>147</v>
      </c>
      <c r="E38" s="137">
        <v>54</v>
      </c>
      <c r="F38" s="137">
        <v>3</v>
      </c>
      <c r="G38" s="156">
        <v>201</v>
      </c>
      <c r="H38" s="136">
        <v>143</v>
      </c>
      <c r="I38" s="137">
        <v>60</v>
      </c>
      <c r="J38" s="137">
        <v>4</v>
      </c>
      <c r="K38" s="138">
        <v>203</v>
      </c>
      <c r="L38" s="137">
        <v>290</v>
      </c>
      <c r="M38" s="137">
        <v>114</v>
      </c>
      <c r="N38" s="137">
        <v>7</v>
      </c>
      <c r="O38" s="138">
        <v>404</v>
      </c>
      <c r="P38" s="139">
        <v>801</v>
      </c>
      <c r="Q38" s="165"/>
      <c r="R38" s="159"/>
      <c r="S38" s="159"/>
      <c r="T38" s="140">
        <v>228</v>
      </c>
      <c r="U38" s="140">
        <v>14</v>
      </c>
      <c r="V38" s="141" t="str">
        <f ca="1">IFERROR(__xludf.DUMMYFUNCTION("""COMPUTED_VALUE"""),"Š")</f>
        <v>Š</v>
      </c>
      <c r="W38" s="141"/>
      <c r="X38" s="141" t="str">
        <f ca="1">IFERROR(__xludf.DUMMYFUNCTION("""COMPUTED_VALUE"""),"R")</f>
        <v>R</v>
      </c>
      <c r="Y38" s="141"/>
      <c r="Z38" s="8" t="str">
        <f ca="1">IFERROR(__xludf.DUMMYFUNCTION("""COMPUTED_VALUE"""),"M")</f>
        <v>M</v>
      </c>
    </row>
    <row r="39" spans="1:26" ht="12.75" x14ac:dyDescent="0.2">
      <c r="A39" s="172">
        <v>19</v>
      </c>
      <c r="B39" s="127" t="s">
        <v>51</v>
      </c>
      <c r="C39" s="128" t="s">
        <v>49</v>
      </c>
      <c r="D39" s="129">
        <v>147</v>
      </c>
      <c r="E39" s="130">
        <v>59</v>
      </c>
      <c r="F39" s="130">
        <v>4</v>
      </c>
      <c r="G39" s="155">
        <v>206</v>
      </c>
      <c r="H39" s="129">
        <v>137</v>
      </c>
      <c r="I39" s="130">
        <v>78</v>
      </c>
      <c r="J39" s="130">
        <v>1</v>
      </c>
      <c r="K39" s="131">
        <v>215</v>
      </c>
      <c r="L39" s="130">
        <v>284</v>
      </c>
      <c r="M39" s="130">
        <v>137</v>
      </c>
      <c r="N39" s="130">
        <v>5</v>
      </c>
      <c r="O39" s="131">
        <v>421</v>
      </c>
      <c r="P39" s="132">
        <v>801</v>
      </c>
      <c r="Q39" s="173">
        <v>801</v>
      </c>
      <c r="R39" s="174">
        <v>228</v>
      </c>
      <c r="S39" s="174">
        <v>18</v>
      </c>
      <c r="T39" s="133">
        <v>228</v>
      </c>
      <c r="U39" s="133">
        <v>18</v>
      </c>
      <c r="V39" s="8" t="str">
        <f ca="1">IFERROR(__xludf.DUMMYFUNCTION("""COMPUTED_VALUE"""),"Š")</f>
        <v>Š</v>
      </c>
      <c r="W39" s="8" t="str">
        <f ca="1">IFERROR(__xludf.DUMMYFUNCTION("""COMPUTED_VALUE"""),"R")</f>
        <v>R</v>
      </c>
      <c r="X39" s="8" t="str">
        <f ca="1">IFERROR(__xludf.DUMMYFUNCTION("""COMPUTED_VALUE"""),"R")</f>
        <v>R</v>
      </c>
      <c r="Y39" s="8" t="str">
        <f ca="1">IFERROR(__xludf.DUMMYFUNCTION("""COMPUTED_VALUE"""),"Ž")</f>
        <v>Ž</v>
      </c>
      <c r="Z39" s="8" t="str">
        <f ca="1">IFERROR(__xludf.DUMMYFUNCTION("""COMPUTED_VALUE"""),"Ž")</f>
        <v>Ž</v>
      </c>
    </row>
    <row r="40" spans="1:26" ht="12.75" x14ac:dyDescent="0.2">
      <c r="A40" s="165"/>
      <c r="B40" s="134" t="s">
        <v>139</v>
      </c>
      <c r="C40" s="135" t="s">
        <v>49</v>
      </c>
      <c r="D40" s="136">
        <v>145</v>
      </c>
      <c r="E40" s="137">
        <v>51</v>
      </c>
      <c r="F40" s="137">
        <v>4</v>
      </c>
      <c r="G40" s="156">
        <v>196</v>
      </c>
      <c r="H40" s="136">
        <v>144</v>
      </c>
      <c r="I40" s="137">
        <v>40</v>
      </c>
      <c r="J40" s="137">
        <v>9</v>
      </c>
      <c r="K40" s="138">
        <v>184</v>
      </c>
      <c r="L40" s="137">
        <v>289</v>
      </c>
      <c r="M40" s="137">
        <v>91</v>
      </c>
      <c r="N40" s="137">
        <v>13</v>
      </c>
      <c r="O40" s="138">
        <v>380</v>
      </c>
      <c r="P40" s="139">
        <v>801</v>
      </c>
      <c r="Q40" s="165"/>
      <c r="R40" s="159"/>
      <c r="S40" s="159"/>
      <c r="T40" s="140">
        <v>228</v>
      </c>
      <c r="U40" s="140">
        <v>18</v>
      </c>
      <c r="V40" s="141" t="str">
        <f ca="1">IFERROR(__xludf.DUMMYFUNCTION("""COMPUTED_VALUE"""),"Š")</f>
        <v>Š</v>
      </c>
      <c r="W40" s="141"/>
      <c r="X40" s="141" t="str">
        <f ca="1">IFERROR(__xludf.DUMMYFUNCTION("""COMPUTED_VALUE"""),"R")</f>
        <v>R</v>
      </c>
      <c r="Y40" s="141"/>
      <c r="Z40" s="8" t="str">
        <f ca="1">IFERROR(__xludf.DUMMYFUNCTION("""COMPUTED_VALUE"""),"Ž")</f>
        <v>Ž</v>
      </c>
    </row>
    <row r="41" spans="1:26" ht="12.75" x14ac:dyDescent="0.2">
      <c r="A41" s="172">
        <v>20</v>
      </c>
      <c r="B41" s="127" t="s">
        <v>52</v>
      </c>
      <c r="C41" s="128" t="s">
        <v>49</v>
      </c>
      <c r="D41" s="129">
        <v>149</v>
      </c>
      <c r="E41" s="130">
        <v>52</v>
      </c>
      <c r="F41" s="130">
        <v>4</v>
      </c>
      <c r="G41" s="155">
        <v>201</v>
      </c>
      <c r="H41" s="129">
        <v>144</v>
      </c>
      <c r="I41" s="130">
        <v>50</v>
      </c>
      <c r="J41" s="130">
        <v>5</v>
      </c>
      <c r="K41" s="131">
        <v>194</v>
      </c>
      <c r="L41" s="130">
        <v>293</v>
      </c>
      <c r="M41" s="130">
        <v>102</v>
      </c>
      <c r="N41" s="130">
        <v>9</v>
      </c>
      <c r="O41" s="131">
        <v>395</v>
      </c>
      <c r="P41" s="132">
        <v>800</v>
      </c>
      <c r="Q41" s="173">
        <v>800</v>
      </c>
      <c r="R41" s="174">
        <v>234</v>
      </c>
      <c r="S41" s="174">
        <v>16</v>
      </c>
      <c r="T41" s="133">
        <v>234</v>
      </c>
      <c r="U41" s="133">
        <v>16</v>
      </c>
      <c r="V41" s="8" t="str">
        <f ca="1">IFERROR(__xludf.DUMMYFUNCTION("""COMPUTED_VALUE"""),"Š")</f>
        <v>Š</v>
      </c>
      <c r="W41" s="8" t="str">
        <f ca="1">IFERROR(__xludf.DUMMYFUNCTION("""COMPUTED_VALUE"""),"R")</f>
        <v>R</v>
      </c>
      <c r="X41" s="8" t="str">
        <f ca="1">IFERROR(__xludf.DUMMYFUNCTION("""COMPUTED_VALUE"""),"R")</f>
        <v>R</v>
      </c>
      <c r="Y41" s="8" t="str">
        <f ca="1">IFERROR(__xludf.DUMMYFUNCTION("""COMPUTED_VALUE"""),"M")</f>
        <v>M</v>
      </c>
      <c r="Z41" s="8" t="str">
        <f ca="1">IFERROR(__xludf.DUMMYFUNCTION("""COMPUTED_VALUE"""),"M")</f>
        <v>M</v>
      </c>
    </row>
    <row r="42" spans="1:26" ht="12.75" x14ac:dyDescent="0.2">
      <c r="A42" s="165"/>
      <c r="B42" s="134" t="s">
        <v>53</v>
      </c>
      <c r="C42" s="135" t="s">
        <v>49</v>
      </c>
      <c r="D42" s="136">
        <v>127</v>
      </c>
      <c r="E42" s="137">
        <v>70</v>
      </c>
      <c r="F42" s="137">
        <v>2</v>
      </c>
      <c r="G42" s="156">
        <v>197</v>
      </c>
      <c r="H42" s="136">
        <v>146</v>
      </c>
      <c r="I42" s="137">
        <v>62</v>
      </c>
      <c r="J42" s="137">
        <v>5</v>
      </c>
      <c r="K42" s="138">
        <v>208</v>
      </c>
      <c r="L42" s="137">
        <v>273</v>
      </c>
      <c r="M42" s="137">
        <v>132</v>
      </c>
      <c r="N42" s="137">
        <v>7</v>
      </c>
      <c r="O42" s="138">
        <v>405</v>
      </c>
      <c r="P42" s="139">
        <v>800</v>
      </c>
      <c r="Q42" s="165"/>
      <c r="R42" s="159"/>
      <c r="S42" s="159"/>
      <c r="T42" s="140">
        <v>234</v>
      </c>
      <c r="U42" s="140">
        <v>16</v>
      </c>
      <c r="V42" s="141" t="str">
        <f ca="1">IFERROR(__xludf.DUMMYFUNCTION("""COMPUTED_VALUE"""),"Š")</f>
        <v>Š</v>
      </c>
      <c r="W42" s="141"/>
      <c r="X42" s="141" t="str">
        <f ca="1">IFERROR(__xludf.DUMMYFUNCTION("""COMPUTED_VALUE"""),"R")</f>
        <v>R</v>
      </c>
      <c r="Y42" s="141"/>
      <c r="Z42" s="8" t="str">
        <f ca="1">IFERROR(__xludf.DUMMYFUNCTION("""COMPUTED_VALUE"""),"M")</f>
        <v>M</v>
      </c>
    </row>
    <row r="43" spans="1:26" ht="12.75" x14ac:dyDescent="0.2">
      <c r="A43" s="172">
        <v>21</v>
      </c>
      <c r="B43" s="127" t="s">
        <v>41</v>
      </c>
      <c r="C43" s="128" t="s">
        <v>36</v>
      </c>
      <c r="D43" s="129">
        <v>147</v>
      </c>
      <c r="E43" s="130">
        <v>70</v>
      </c>
      <c r="F43" s="130">
        <v>1</v>
      </c>
      <c r="G43" s="155">
        <v>217</v>
      </c>
      <c r="H43" s="129">
        <v>141</v>
      </c>
      <c r="I43" s="130">
        <v>62</v>
      </c>
      <c r="J43" s="130">
        <v>2</v>
      </c>
      <c r="K43" s="131">
        <v>203</v>
      </c>
      <c r="L43" s="130">
        <v>288</v>
      </c>
      <c r="M43" s="130">
        <v>132</v>
      </c>
      <c r="N43" s="130">
        <v>3</v>
      </c>
      <c r="O43" s="131">
        <v>420</v>
      </c>
      <c r="P43" s="132">
        <v>799</v>
      </c>
      <c r="Q43" s="173">
        <v>799</v>
      </c>
      <c r="R43" s="174">
        <v>248</v>
      </c>
      <c r="S43" s="174">
        <v>11</v>
      </c>
      <c r="T43" s="133">
        <v>248</v>
      </c>
      <c r="U43" s="133">
        <v>11</v>
      </c>
      <c r="V43" s="8" t="str">
        <f ca="1">IFERROR(__xludf.DUMMYFUNCTION("""COMPUTED_VALUE"""),"TV")</f>
        <v>TV</v>
      </c>
      <c r="W43" s="8" t="str">
        <f ca="1">IFERROR(__xludf.DUMMYFUNCTION("""COMPUTED_VALUE"""),"N")</f>
        <v>N</v>
      </c>
      <c r="X43" s="8" t="str">
        <f ca="1">IFERROR(__xludf.DUMMYFUNCTION("""COMPUTED_VALUE"""),"N")</f>
        <v>N</v>
      </c>
      <c r="Y43" s="8" t="str">
        <f ca="1">IFERROR(__xludf.DUMMYFUNCTION("""COMPUTED_VALUE"""),"M")</f>
        <v>M</v>
      </c>
      <c r="Z43" s="8" t="str">
        <f ca="1">IFERROR(__xludf.DUMMYFUNCTION("""COMPUTED_VALUE"""),"M")</f>
        <v>M</v>
      </c>
    </row>
    <row r="44" spans="1:26" ht="12.75" x14ac:dyDescent="0.2">
      <c r="A44" s="165"/>
      <c r="B44" s="134" t="s">
        <v>42</v>
      </c>
      <c r="C44" s="135" t="s">
        <v>36</v>
      </c>
      <c r="D44" s="136">
        <v>148</v>
      </c>
      <c r="E44" s="137">
        <v>71</v>
      </c>
      <c r="F44" s="137">
        <v>3</v>
      </c>
      <c r="G44" s="156">
        <v>219</v>
      </c>
      <c r="H44" s="136">
        <v>115</v>
      </c>
      <c r="I44" s="137">
        <v>45</v>
      </c>
      <c r="J44" s="137">
        <v>5</v>
      </c>
      <c r="K44" s="138">
        <v>160</v>
      </c>
      <c r="L44" s="137">
        <v>263</v>
      </c>
      <c r="M44" s="137">
        <v>116</v>
      </c>
      <c r="N44" s="137">
        <v>8</v>
      </c>
      <c r="O44" s="138">
        <v>379</v>
      </c>
      <c r="P44" s="139">
        <v>799</v>
      </c>
      <c r="Q44" s="165"/>
      <c r="R44" s="159"/>
      <c r="S44" s="159"/>
      <c r="T44" s="140">
        <v>248</v>
      </c>
      <c r="U44" s="140">
        <v>11</v>
      </c>
      <c r="V44" s="141" t="str">
        <f ca="1">IFERROR(__xludf.DUMMYFUNCTION("""COMPUTED_VALUE"""),"TV")</f>
        <v>TV</v>
      </c>
      <c r="W44" s="141"/>
      <c r="X44" s="141" t="str">
        <f ca="1">IFERROR(__xludf.DUMMYFUNCTION("""COMPUTED_VALUE"""),"N")</f>
        <v>N</v>
      </c>
      <c r="Y44" s="141"/>
      <c r="Z44" s="8" t="str">
        <f ca="1">IFERROR(__xludf.DUMMYFUNCTION("""COMPUTED_VALUE"""),"M")</f>
        <v>M</v>
      </c>
    </row>
    <row r="45" spans="1:26" ht="12.75" x14ac:dyDescent="0.2">
      <c r="A45" s="172">
        <v>22</v>
      </c>
      <c r="B45" s="127" t="s">
        <v>48</v>
      </c>
      <c r="C45" s="128" t="s">
        <v>49</v>
      </c>
      <c r="D45" s="129">
        <v>133</v>
      </c>
      <c r="E45" s="130">
        <v>80</v>
      </c>
      <c r="F45" s="130">
        <v>2</v>
      </c>
      <c r="G45" s="155">
        <v>213</v>
      </c>
      <c r="H45" s="129">
        <v>128</v>
      </c>
      <c r="I45" s="130">
        <v>58</v>
      </c>
      <c r="J45" s="130">
        <v>6</v>
      </c>
      <c r="K45" s="131">
        <v>186</v>
      </c>
      <c r="L45" s="130">
        <v>261</v>
      </c>
      <c r="M45" s="130">
        <v>138</v>
      </c>
      <c r="N45" s="130">
        <v>8</v>
      </c>
      <c r="O45" s="131">
        <v>399</v>
      </c>
      <c r="P45" s="132">
        <v>798</v>
      </c>
      <c r="Q45" s="173">
        <v>798</v>
      </c>
      <c r="R45" s="174">
        <v>259</v>
      </c>
      <c r="S45" s="174">
        <v>14</v>
      </c>
      <c r="T45" s="133">
        <v>259</v>
      </c>
      <c r="U45" s="133">
        <v>14</v>
      </c>
      <c r="V45" s="8" t="str">
        <f ca="1">IFERROR(__xludf.DUMMYFUNCTION("""COMPUTED_VALUE"""),"Š")</f>
        <v>Š</v>
      </c>
      <c r="W45" s="8" t="str">
        <f ca="1">IFERROR(__xludf.DUMMYFUNCTION("""COMPUTED_VALUE"""),"R")</f>
        <v>R</v>
      </c>
      <c r="X45" s="8" t="str">
        <f ca="1">IFERROR(__xludf.DUMMYFUNCTION("""COMPUTED_VALUE"""),"R")</f>
        <v>R</v>
      </c>
      <c r="Y45" s="8" t="str">
        <f ca="1">IFERROR(__xludf.DUMMYFUNCTION("""COMPUTED_VALUE"""),"S")</f>
        <v>S</v>
      </c>
      <c r="Z45" s="8" t="str">
        <f ca="1">IFERROR(__xludf.DUMMYFUNCTION("""COMPUTED_VALUE"""),"S")</f>
        <v>S</v>
      </c>
    </row>
    <row r="46" spans="1:26" ht="12.75" x14ac:dyDescent="0.2">
      <c r="A46" s="165"/>
      <c r="B46" s="134" t="s">
        <v>51</v>
      </c>
      <c r="C46" s="135" t="s">
        <v>49</v>
      </c>
      <c r="D46" s="136">
        <v>144</v>
      </c>
      <c r="E46" s="137">
        <v>77</v>
      </c>
      <c r="F46" s="137">
        <v>1</v>
      </c>
      <c r="G46" s="156">
        <v>221</v>
      </c>
      <c r="H46" s="136">
        <v>134</v>
      </c>
      <c r="I46" s="137">
        <v>44</v>
      </c>
      <c r="J46" s="137">
        <v>5</v>
      </c>
      <c r="K46" s="138">
        <v>178</v>
      </c>
      <c r="L46" s="137">
        <v>278</v>
      </c>
      <c r="M46" s="137">
        <v>121</v>
      </c>
      <c r="N46" s="137">
        <v>6</v>
      </c>
      <c r="O46" s="138">
        <v>399</v>
      </c>
      <c r="P46" s="139">
        <v>798</v>
      </c>
      <c r="Q46" s="165"/>
      <c r="R46" s="159"/>
      <c r="S46" s="159"/>
      <c r="T46" s="140">
        <v>259</v>
      </c>
      <c r="U46" s="140">
        <v>14</v>
      </c>
      <c r="V46" s="141" t="str">
        <f ca="1">IFERROR(__xludf.DUMMYFUNCTION("""COMPUTED_VALUE"""),"Š")</f>
        <v>Š</v>
      </c>
      <c r="W46" s="141"/>
      <c r="X46" s="141" t="str">
        <f ca="1">IFERROR(__xludf.DUMMYFUNCTION("""COMPUTED_VALUE"""),"R")</f>
        <v>R</v>
      </c>
      <c r="Y46" s="141"/>
      <c r="Z46" s="8" t="str">
        <f ca="1">IFERROR(__xludf.DUMMYFUNCTION("""COMPUTED_VALUE"""),"S")</f>
        <v>S</v>
      </c>
    </row>
    <row r="47" spans="1:26" ht="12.75" x14ac:dyDescent="0.2">
      <c r="A47" s="172">
        <v>23</v>
      </c>
      <c r="B47" s="127" t="s">
        <v>71</v>
      </c>
      <c r="C47" s="128" t="s">
        <v>49</v>
      </c>
      <c r="D47" s="129">
        <v>139</v>
      </c>
      <c r="E47" s="130">
        <v>62</v>
      </c>
      <c r="F47" s="130">
        <v>1</v>
      </c>
      <c r="G47" s="155">
        <v>201</v>
      </c>
      <c r="H47" s="129">
        <v>146</v>
      </c>
      <c r="I47" s="130">
        <v>68</v>
      </c>
      <c r="J47" s="130">
        <v>3</v>
      </c>
      <c r="K47" s="131">
        <v>214</v>
      </c>
      <c r="L47" s="130">
        <v>285</v>
      </c>
      <c r="M47" s="130">
        <v>130</v>
      </c>
      <c r="N47" s="130">
        <v>4</v>
      </c>
      <c r="O47" s="131">
        <v>415</v>
      </c>
      <c r="P47" s="132">
        <v>798</v>
      </c>
      <c r="Q47" s="173">
        <v>798</v>
      </c>
      <c r="R47" s="174">
        <v>232</v>
      </c>
      <c r="S47" s="174">
        <v>15</v>
      </c>
      <c r="T47" s="133">
        <v>232</v>
      </c>
      <c r="U47" s="133">
        <v>15</v>
      </c>
      <c r="V47" s="8" t="str">
        <f ca="1">IFERROR(__xludf.DUMMYFUNCTION("""COMPUTED_VALUE"""),"Š")</f>
        <v>Š</v>
      </c>
      <c r="W47" s="8" t="str">
        <f ca="1">IFERROR(__xludf.DUMMYFUNCTION("""COMPUTED_VALUE"""),"R")</f>
        <v>R</v>
      </c>
      <c r="X47" s="8" t="str">
        <f ca="1">IFERROR(__xludf.DUMMYFUNCTION("""COMPUTED_VALUE"""),"R")</f>
        <v>R</v>
      </c>
      <c r="Y47" s="8" t="str">
        <f ca="1">IFERROR(__xludf.DUMMYFUNCTION("""COMPUTED_VALUE"""),"M")</f>
        <v>M</v>
      </c>
      <c r="Z47" s="8" t="str">
        <f ca="1">IFERROR(__xludf.DUMMYFUNCTION("""COMPUTED_VALUE"""),"M")</f>
        <v>M</v>
      </c>
    </row>
    <row r="48" spans="1:26" ht="12.75" x14ac:dyDescent="0.2">
      <c r="A48" s="165"/>
      <c r="B48" s="134" t="s">
        <v>48</v>
      </c>
      <c r="C48" s="135" t="s">
        <v>49</v>
      </c>
      <c r="D48" s="136">
        <v>131</v>
      </c>
      <c r="E48" s="137">
        <v>52</v>
      </c>
      <c r="F48" s="137">
        <v>8</v>
      </c>
      <c r="G48" s="156">
        <v>183</v>
      </c>
      <c r="H48" s="136">
        <v>150</v>
      </c>
      <c r="I48" s="137">
        <v>50</v>
      </c>
      <c r="J48" s="137">
        <v>3</v>
      </c>
      <c r="K48" s="138">
        <v>200</v>
      </c>
      <c r="L48" s="137">
        <v>281</v>
      </c>
      <c r="M48" s="137">
        <v>102</v>
      </c>
      <c r="N48" s="137">
        <v>11</v>
      </c>
      <c r="O48" s="138">
        <v>383</v>
      </c>
      <c r="P48" s="139">
        <v>798</v>
      </c>
      <c r="Q48" s="165"/>
      <c r="R48" s="159"/>
      <c r="S48" s="159"/>
      <c r="T48" s="140">
        <v>232</v>
      </c>
      <c r="U48" s="140">
        <v>15</v>
      </c>
      <c r="V48" s="141" t="str">
        <f ca="1">IFERROR(__xludf.DUMMYFUNCTION("""COMPUTED_VALUE"""),"Š")</f>
        <v>Š</v>
      </c>
      <c r="W48" s="141"/>
      <c r="X48" s="141" t="str">
        <f ca="1">IFERROR(__xludf.DUMMYFUNCTION("""COMPUTED_VALUE"""),"R")</f>
        <v>R</v>
      </c>
      <c r="Y48" s="141"/>
      <c r="Z48" s="8" t="str">
        <f ca="1">IFERROR(__xludf.DUMMYFUNCTION("""COMPUTED_VALUE"""),"M")</f>
        <v>M</v>
      </c>
    </row>
    <row r="49" spans="1:26" ht="12.75" x14ac:dyDescent="0.2">
      <c r="A49" s="172">
        <v>24</v>
      </c>
      <c r="B49" s="127" t="s">
        <v>79</v>
      </c>
      <c r="C49" s="128" t="s">
        <v>49</v>
      </c>
      <c r="D49" s="129">
        <v>131</v>
      </c>
      <c r="E49" s="130">
        <v>54</v>
      </c>
      <c r="F49" s="130">
        <v>5</v>
      </c>
      <c r="G49" s="155">
        <v>185</v>
      </c>
      <c r="H49" s="129">
        <v>126</v>
      </c>
      <c r="I49" s="130">
        <v>61</v>
      </c>
      <c r="J49" s="130">
        <v>4</v>
      </c>
      <c r="K49" s="131">
        <v>187</v>
      </c>
      <c r="L49" s="130">
        <v>257</v>
      </c>
      <c r="M49" s="130">
        <v>115</v>
      </c>
      <c r="N49" s="130">
        <v>9</v>
      </c>
      <c r="O49" s="131">
        <v>372</v>
      </c>
      <c r="P49" s="132">
        <v>795</v>
      </c>
      <c r="Q49" s="173">
        <v>795</v>
      </c>
      <c r="R49" s="174">
        <v>249</v>
      </c>
      <c r="S49" s="174">
        <v>13</v>
      </c>
      <c r="T49" s="133">
        <v>249</v>
      </c>
      <c r="U49" s="133">
        <v>13</v>
      </c>
      <c r="V49" s="8" t="str">
        <f ca="1">IFERROR(__xludf.DUMMYFUNCTION("""COMPUTED_VALUE"""),"Š")</f>
        <v>Š</v>
      </c>
      <c r="W49" s="8" t="str">
        <f ca="1">IFERROR(__xludf.DUMMYFUNCTION("""COMPUTED_VALUE"""),"R")</f>
        <v>R</v>
      </c>
      <c r="X49" s="8" t="str">
        <f ca="1">IFERROR(__xludf.DUMMYFUNCTION("""COMPUTED_VALUE"""),"R")</f>
        <v>R</v>
      </c>
      <c r="Y49" s="8" t="str">
        <f ca="1">IFERROR(__xludf.DUMMYFUNCTION("""COMPUTED_VALUE"""),"M")</f>
        <v>M</v>
      </c>
      <c r="Z49" s="8" t="str">
        <f ca="1">IFERROR(__xludf.DUMMYFUNCTION("""COMPUTED_VALUE"""),"M")</f>
        <v>M</v>
      </c>
    </row>
    <row r="50" spans="1:26" ht="12.75" x14ac:dyDescent="0.2">
      <c r="A50" s="165"/>
      <c r="B50" s="134" t="s">
        <v>81</v>
      </c>
      <c r="C50" s="135" t="s">
        <v>49</v>
      </c>
      <c r="D50" s="136">
        <v>147</v>
      </c>
      <c r="E50" s="137">
        <v>71</v>
      </c>
      <c r="F50" s="137">
        <v>3</v>
      </c>
      <c r="G50" s="156">
        <v>218</v>
      </c>
      <c r="H50" s="136">
        <v>142</v>
      </c>
      <c r="I50" s="137">
        <v>63</v>
      </c>
      <c r="J50" s="137">
        <v>1</v>
      </c>
      <c r="K50" s="138">
        <v>205</v>
      </c>
      <c r="L50" s="137">
        <v>289</v>
      </c>
      <c r="M50" s="137">
        <v>134</v>
      </c>
      <c r="N50" s="137">
        <v>4</v>
      </c>
      <c r="O50" s="138">
        <v>423</v>
      </c>
      <c r="P50" s="139">
        <v>795</v>
      </c>
      <c r="Q50" s="165"/>
      <c r="R50" s="159"/>
      <c r="S50" s="159"/>
      <c r="T50" s="140">
        <v>249</v>
      </c>
      <c r="U50" s="140">
        <v>13</v>
      </c>
      <c r="V50" s="141" t="str">
        <f ca="1">IFERROR(__xludf.DUMMYFUNCTION("""COMPUTED_VALUE"""),"Š")</f>
        <v>Š</v>
      </c>
      <c r="W50" s="141"/>
      <c r="X50" s="141" t="str">
        <f ca="1">IFERROR(__xludf.DUMMYFUNCTION("""COMPUTED_VALUE"""),"R")</f>
        <v>R</v>
      </c>
      <c r="Y50" s="141"/>
      <c r="Z50" s="8" t="str">
        <f ca="1">IFERROR(__xludf.DUMMYFUNCTION("""COMPUTED_VALUE"""),"M")</f>
        <v>M</v>
      </c>
    </row>
    <row r="51" spans="1:26" ht="12.75" x14ac:dyDescent="0.2">
      <c r="A51" s="172">
        <v>25</v>
      </c>
      <c r="B51" s="127" t="s">
        <v>57</v>
      </c>
      <c r="C51" s="128" t="s">
        <v>55</v>
      </c>
      <c r="D51" s="129">
        <v>144</v>
      </c>
      <c r="E51" s="130">
        <v>44</v>
      </c>
      <c r="F51" s="130">
        <v>4</v>
      </c>
      <c r="G51" s="155">
        <v>188</v>
      </c>
      <c r="H51" s="129">
        <v>150</v>
      </c>
      <c r="I51" s="130">
        <v>52</v>
      </c>
      <c r="J51" s="130">
        <v>6</v>
      </c>
      <c r="K51" s="131">
        <v>202</v>
      </c>
      <c r="L51" s="130">
        <v>294</v>
      </c>
      <c r="M51" s="130">
        <v>96</v>
      </c>
      <c r="N51" s="130">
        <v>10</v>
      </c>
      <c r="O51" s="131">
        <v>390</v>
      </c>
      <c r="P51" s="132">
        <v>794</v>
      </c>
      <c r="Q51" s="173">
        <v>794</v>
      </c>
      <c r="R51" s="174">
        <v>209</v>
      </c>
      <c r="S51" s="174">
        <v>19</v>
      </c>
      <c r="T51" s="133">
        <v>209</v>
      </c>
      <c r="U51" s="133">
        <v>19</v>
      </c>
      <c r="V51" s="8" t="str">
        <f ca="1">IFERROR(__xludf.DUMMYFUNCTION("""COMPUTED_VALUE"""),"Š")</f>
        <v>Š</v>
      </c>
      <c r="W51" s="8" t="str">
        <f ca="1">IFERROR(__xludf.DUMMYFUNCTION("""COMPUTED_VALUE"""),"R")</f>
        <v>R</v>
      </c>
      <c r="X51" s="8" t="str">
        <f ca="1">IFERROR(__xludf.DUMMYFUNCTION("""COMPUTED_VALUE"""),"R")</f>
        <v>R</v>
      </c>
      <c r="Y51" s="8" t="str">
        <f ca="1">IFERROR(__xludf.DUMMYFUNCTION("""COMPUTED_VALUE"""),"M")</f>
        <v>M</v>
      </c>
      <c r="Z51" s="8" t="str">
        <f ca="1">IFERROR(__xludf.DUMMYFUNCTION("""COMPUTED_VALUE"""),"M")</f>
        <v>M</v>
      </c>
    </row>
    <row r="52" spans="1:26" ht="12.75" x14ac:dyDescent="0.2">
      <c r="A52" s="165"/>
      <c r="B52" s="134" t="s">
        <v>58</v>
      </c>
      <c r="C52" s="135" t="s">
        <v>55</v>
      </c>
      <c r="D52" s="136">
        <v>144</v>
      </c>
      <c r="E52" s="137">
        <v>52</v>
      </c>
      <c r="F52" s="137">
        <v>6</v>
      </c>
      <c r="G52" s="156">
        <v>196</v>
      </c>
      <c r="H52" s="136">
        <v>147</v>
      </c>
      <c r="I52" s="137">
        <v>61</v>
      </c>
      <c r="J52" s="137">
        <v>3</v>
      </c>
      <c r="K52" s="138">
        <v>208</v>
      </c>
      <c r="L52" s="137">
        <v>291</v>
      </c>
      <c r="M52" s="137">
        <v>113</v>
      </c>
      <c r="N52" s="137">
        <v>9</v>
      </c>
      <c r="O52" s="138">
        <v>404</v>
      </c>
      <c r="P52" s="139">
        <v>794</v>
      </c>
      <c r="Q52" s="165"/>
      <c r="R52" s="159"/>
      <c r="S52" s="159"/>
      <c r="T52" s="140">
        <v>209</v>
      </c>
      <c r="U52" s="140">
        <v>19</v>
      </c>
      <c r="V52" s="141" t="str">
        <f ca="1">IFERROR(__xludf.DUMMYFUNCTION("""COMPUTED_VALUE"""),"Š")</f>
        <v>Š</v>
      </c>
      <c r="W52" s="141"/>
      <c r="X52" s="141" t="str">
        <f ca="1">IFERROR(__xludf.DUMMYFUNCTION("""COMPUTED_VALUE"""),"R")</f>
        <v>R</v>
      </c>
      <c r="Y52" s="141"/>
      <c r="Z52" s="8" t="str">
        <f ca="1">IFERROR(__xludf.DUMMYFUNCTION("""COMPUTED_VALUE"""),"M")</f>
        <v>M</v>
      </c>
    </row>
    <row r="53" spans="1:26" ht="12.75" x14ac:dyDescent="0.2">
      <c r="A53" s="172">
        <v>26</v>
      </c>
      <c r="B53" s="127" t="s">
        <v>62</v>
      </c>
      <c r="C53" s="128" t="s">
        <v>60</v>
      </c>
      <c r="D53" s="129">
        <v>146</v>
      </c>
      <c r="E53" s="130">
        <v>44</v>
      </c>
      <c r="F53" s="130">
        <v>6</v>
      </c>
      <c r="G53" s="155">
        <v>190</v>
      </c>
      <c r="H53" s="129">
        <v>147</v>
      </c>
      <c r="I53" s="130">
        <v>61</v>
      </c>
      <c r="J53" s="130">
        <v>3</v>
      </c>
      <c r="K53" s="131">
        <v>208</v>
      </c>
      <c r="L53" s="130">
        <v>293</v>
      </c>
      <c r="M53" s="130">
        <v>105</v>
      </c>
      <c r="N53" s="130">
        <v>9</v>
      </c>
      <c r="O53" s="131">
        <v>398</v>
      </c>
      <c r="P53" s="132">
        <v>787</v>
      </c>
      <c r="Q53" s="173">
        <v>787</v>
      </c>
      <c r="R53" s="174">
        <v>221</v>
      </c>
      <c r="S53" s="174">
        <v>24</v>
      </c>
      <c r="T53" s="133">
        <v>221</v>
      </c>
      <c r="U53" s="133">
        <v>24</v>
      </c>
      <c r="V53" s="8" t="str">
        <f ca="1">IFERROR(__xludf.DUMMYFUNCTION("""COMPUTED_VALUE"""),"TV")</f>
        <v>TV</v>
      </c>
      <c r="W53" s="8" t="str">
        <f ca="1">IFERROR(__xludf.DUMMYFUNCTION("""COMPUTED_VALUE"""),"R")</f>
        <v>R</v>
      </c>
      <c r="X53" s="8" t="str">
        <f ca="1">IFERROR(__xludf.DUMMYFUNCTION("""COMPUTED_VALUE"""),"R")</f>
        <v>R</v>
      </c>
      <c r="Y53" s="8" t="str">
        <f ca="1">IFERROR(__xludf.DUMMYFUNCTION("""COMPUTED_VALUE"""),"M")</f>
        <v>M</v>
      </c>
      <c r="Z53" s="8" t="str">
        <f ca="1">IFERROR(__xludf.DUMMYFUNCTION("""COMPUTED_VALUE"""),"M")</f>
        <v>M</v>
      </c>
    </row>
    <row r="54" spans="1:26" ht="12.75" x14ac:dyDescent="0.2">
      <c r="A54" s="165"/>
      <c r="B54" s="134" t="s">
        <v>63</v>
      </c>
      <c r="C54" s="135" t="s">
        <v>60</v>
      </c>
      <c r="D54" s="136">
        <v>144</v>
      </c>
      <c r="E54" s="137">
        <v>35</v>
      </c>
      <c r="F54" s="137">
        <v>11</v>
      </c>
      <c r="G54" s="156">
        <v>179</v>
      </c>
      <c r="H54" s="136">
        <v>129</v>
      </c>
      <c r="I54" s="137">
        <v>81</v>
      </c>
      <c r="J54" s="137">
        <v>4</v>
      </c>
      <c r="K54" s="138">
        <v>210</v>
      </c>
      <c r="L54" s="137">
        <v>273</v>
      </c>
      <c r="M54" s="137">
        <v>116</v>
      </c>
      <c r="N54" s="137">
        <v>15</v>
      </c>
      <c r="O54" s="138">
        <v>389</v>
      </c>
      <c r="P54" s="139">
        <v>787</v>
      </c>
      <c r="Q54" s="165"/>
      <c r="R54" s="159"/>
      <c r="S54" s="159"/>
      <c r="T54" s="140">
        <v>221</v>
      </c>
      <c r="U54" s="140">
        <v>24</v>
      </c>
      <c r="V54" s="141" t="str">
        <f ca="1">IFERROR(__xludf.DUMMYFUNCTION("""COMPUTED_VALUE"""),"TV")</f>
        <v>TV</v>
      </c>
      <c r="W54" s="141"/>
      <c r="X54" s="141" t="str">
        <f ca="1">IFERROR(__xludf.DUMMYFUNCTION("""COMPUTED_VALUE"""),"R")</f>
        <v>R</v>
      </c>
      <c r="Y54" s="141"/>
      <c r="Z54" s="8" t="str">
        <f ca="1">IFERROR(__xludf.DUMMYFUNCTION("""COMPUTED_VALUE"""),"M")</f>
        <v>M</v>
      </c>
    </row>
    <row r="55" spans="1:26" ht="12.75" x14ac:dyDescent="0.2">
      <c r="A55" s="172">
        <v>27</v>
      </c>
      <c r="B55" s="127" t="s">
        <v>64</v>
      </c>
      <c r="C55" s="128" t="s">
        <v>60</v>
      </c>
      <c r="D55" s="129">
        <v>130</v>
      </c>
      <c r="E55" s="130">
        <v>44</v>
      </c>
      <c r="F55" s="130">
        <v>5</v>
      </c>
      <c r="G55" s="155">
        <v>174</v>
      </c>
      <c r="H55" s="129">
        <v>142</v>
      </c>
      <c r="I55" s="130">
        <v>54</v>
      </c>
      <c r="J55" s="130">
        <v>6</v>
      </c>
      <c r="K55" s="131">
        <v>196</v>
      </c>
      <c r="L55" s="130">
        <v>272</v>
      </c>
      <c r="M55" s="130">
        <v>98</v>
      </c>
      <c r="N55" s="130">
        <v>11</v>
      </c>
      <c r="O55" s="131">
        <v>370</v>
      </c>
      <c r="P55" s="132">
        <v>786</v>
      </c>
      <c r="Q55" s="173">
        <v>786</v>
      </c>
      <c r="R55" s="174">
        <v>225</v>
      </c>
      <c r="S55" s="174">
        <v>13</v>
      </c>
      <c r="T55" s="133">
        <v>225</v>
      </c>
      <c r="U55" s="133">
        <v>13</v>
      </c>
      <c r="V55" s="8" t="str">
        <f ca="1">IFERROR(__xludf.DUMMYFUNCTION("""COMPUTED_VALUE"""),"TV")</f>
        <v>TV</v>
      </c>
      <c r="W55" s="8" t="str">
        <f ca="1">IFERROR(__xludf.DUMMYFUNCTION("""COMPUTED_VALUE"""),"R")</f>
        <v>R</v>
      </c>
      <c r="X55" s="8" t="str">
        <f ca="1">IFERROR(__xludf.DUMMYFUNCTION("""COMPUTED_VALUE"""),"R")</f>
        <v>R</v>
      </c>
      <c r="Y55" s="8" t="str">
        <f ca="1">IFERROR(__xludf.DUMMYFUNCTION("""COMPUTED_VALUE"""),"M")</f>
        <v>M</v>
      </c>
      <c r="Z55" s="8" t="str">
        <f ca="1">IFERROR(__xludf.DUMMYFUNCTION("""COMPUTED_VALUE"""),"M")</f>
        <v>M</v>
      </c>
    </row>
    <row r="56" spans="1:26" ht="12.75" x14ac:dyDescent="0.2">
      <c r="A56" s="180"/>
      <c r="B56" s="134" t="s">
        <v>65</v>
      </c>
      <c r="C56" s="135" t="s">
        <v>60</v>
      </c>
      <c r="D56" s="136">
        <v>145</v>
      </c>
      <c r="E56" s="137">
        <v>68</v>
      </c>
      <c r="F56" s="137">
        <v>1</v>
      </c>
      <c r="G56" s="156">
        <v>213</v>
      </c>
      <c r="H56" s="136">
        <v>144</v>
      </c>
      <c r="I56" s="137">
        <v>59</v>
      </c>
      <c r="J56" s="137">
        <v>1</v>
      </c>
      <c r="K56" s="138">
        <v>203</v>
      </c>
      <c r="L56" s="137">
        <v>289</v>
      </c>
      <c r="M56" s="137">
        <v>127</v>
      </c>
      <c r="N56" s="137">
        <v>2</v>
      </c>
      <c r="O56" s="138">
        <v>416</v>
      </c>
      <c r="P56" s="139">
        <v>786</v>
      </c>
      <c r="Q56" s="165"/>
      <c r="R56" s="159"/>
      <c r="S56" s="159"/>
      <c r="T56" s="140">
        <v>225</v>
      </c>
      <c r="U56" s="140">
        <v>13</v>
      </c>
      <c r="V56" s="141" t="str">
        <f ca="1">IFERROR(__xludf.DUMMYFUNCTION("""COMPUTED_VALUE"""),"TV")</f>
        <v>TV</v>
      </c>
      <c r="W56" s="141"/>
      <c r="X56" s="141" t="str">
        <f ca="1">IFERROR(__xludf.DUMMYFUNCTION("""COMPUTED_VALUE"""),"R")</f>
        <v>R</v>
      </c>
      <c r="Y56" s="141"/>
      <c r="Z56" s="8" t="str">
        <f ca="1">IFERROR(__xludf.DUMMYFUNCTION("""COMPUTED_VALUE"""),"M")</f>
        <v>M</v>
      </c>
    </row>
    <row r="57" spans="1:26" ht="12.75" x14ac:dyDescent="0.2">
      <c r="A57" s="172">
        <v>28</v>
      </c>
      <c r="B57" s="127" t="s">
        <v>97</v>
      </c>
      <c r="C57" s="128" t="s">
        <v>98</v>
      </c>
      <c r="D57" s="129">
        <v>131</v>
      </c>
      <c r="E57" s="130">
        <v>53</v>
      </c>
      <c r="F57" s="130">
        <v>5</v>
      </c>
      <c r="G57" s="155">
        <v>184</v>
      </c>
      <c r="H57" s="129">
        <v>143</v>
      </c>
      <c r="I57" s="130">
        <v>53</v>
      </c>
      <c r="J57" s="130">
        <v>7</v>
      </c>
      <c r="K57" s="131">
        <v>196</v>
      </c>
      <c r="L57" s="130">
        <v>274</v>
      </c>
      <c r="M57" s="130">
        <v>106</v>
      </c>
      <c r="N57" s="130">
        <v>12</v>
      </c>
      <c r="O57" s="131">
        <v>380</v>
      </c>
      <c r="P57" s="132">
        <v>784</v>
      </c>
      <c r="Q57" s="173">
        <v>784</v>
      </c>
      <c r="R57" s="174">
        <v>229</v>
      </c>
      <c r="S57" s="174">
        <v>19</v>
      </c>
      <c r="T57" s="133">
        <v>229</v>
      </c>
      <c r="U57" s="133">
        <v>19</v>
      </c>
      <c r="V57" s="8" t="str">
        <f ca="1">IFERROR(__xludf.DUMMYFUNCTION("""COMPUTED_VALUE"""),"TV")</f>
        <v>TV</v>
      </c>
      <c r="W57" s="8" t="str">
        <f ca="1">IFERROR(__xludf.DUMMYFUNCTION("""COMPUTED_VALUE"""),"R")</f>
        <v>R</v>
      </c>
      <c r="X57" s="8" t="str">
        <f ca="1">IFERROR(__xludf.DUMMYFUNCTION("""COMPUTED_VALUE"""),"R")</f>
        <v>R</v>
      </c>
      <c r="Y57" s="8" t="str">
        <f ca="1">IFERROR(__xludf.DUMMYFUNCTION("""COMPUTED_VALUE"""),"M")</f>
        <v>M</v>
      </c>
      <c r="Z57" s="8" t="str">
        <f ca="1">IFERROR(__xludf.DUMMYFUNCTION("""COMPUTED_VALUE"""),"M")</f>
        <v>M</v>
      </c>
    </row>
    <row r="58" spans="1:26" ht="12.75" x14ac:dyDescent="0.2">
      <c r="A58" s="180"/>
      <c r="B58" s="134" t="s">
        <v>99</v>
      </c>
      <c r="C58" s="135" t="s">
        <v>98</v>
      </c>
      <c r="D58" s="136">
        <v>134</v>
      </c>
      <c r="E58" s="137">
        <v>61</v>
      </c>
      <c r="F58" s="137">
        <v>4</v>
      </c>
      <c r="G58" s="156">
        <v>195</v>
      </c>
      <c r="H58" s="136">
        <v>147</v>
      </c>
      <c r="I58" s="137">
        <v>62</v>
      </c>
      <c r="J58" s="137">
        <v>3</v>
      </c>
      <c r="K58" s="138">
        <v>209</v>
      </c>
      <c r="L58" s="137">
        <v>281</v>
      </c>
      <c r="M58" s="137">
        <v>123</v>
      </c>
      <c r="N58" s="137">
        <v>7</v>
      </c>
      <c r="O58" s="138">
        <v>404</v>
      </c>
      <c r="P58" s="139">
        <v>784</v>
      </c>
      <c r="Q58" s="165"/>
      <c r="R58" s="159"/>
      <c r="S58" s="159"/>
      <c r="T58" s="140">
        <v>229</v>
      </c>
      <c r="U58" s="140">
        <v>19</v>
      </c>
      <c r="V58" s="141" t="str">
        <f ca="1">IFERROR(__xludf.DUMMYFUNCTION("""COMPUTED_VALUE"""),"TV")</f>
        <v>TV</v>
      </c>
      <c r="W58" s="141"/>
      <c r="X58" s="141" t="str">
        <f ca="1">IFERROR(__xludf.DUMMYFUNCTION("""COMPUTED_VALUE"""),"R")</f>
        <v>R</v>
      </c>
      <c r="Y58" s="141"/>
      <c r="Z58" s="8" t="str">
        <f ca="1">IFERROR(__xludf.DUMMYFUNCTION("""COMPUTED_VALUE"""),"M")</f>
        <v>M</v>
      </c>
    </row>
    <row r="59" spans="1:26" ht="12.75" x14ac:dyDescent="0.2">
      <c r="A59" s="172">
        <v>29</v>
      </c>
      <c r="B59" s="127" t="s">
        <v>147</v>
      </c>
      <c r="C59" s="128" t="s">
        <v>148</v>
      </c>
      <c r="D59" s="129">
        <v>144</v>
      </c>
      <c r="E59" s="130">
        <v>78</v>
      </c>
      <c r="F59" s="130">
        <v>2</v>
      </c>
      <c r="G59" s="155">
        <v>222</v>
      </c>
      <c r="H59" s="129">
        <v>152</v>
      </c>
      <c r="I59" s="130">
        <v>45</v>
      </c>
      <c r="J59" s="130">
        <v>6</v>
      </c>
      <c r="K59" s="131">
        <v>197</v>
      </c>
      <c r="L59" s="130">
        <v>296</v>
      </c>
      <c r="M59" s="130">
        <v>123</v>
      </c>
      <c r="N59" s="130">
        <v>8</v>
      </c>
      <c r="O59" s="131">
        <v>419</v>
      </c>
      <c r="P59" s="132">
        <v>784</v>
      </c>
      <c r="Q59" s="173">
        <v>784</v>
      </c>
      <c r="R59" s="174">
        <v>218</v>
      </c>
      <c r="S59" s="174">
        <v>18</v>
      </c>
      <c r="T59" s="133">
        <v>218</v>
      </c>
      <c r="U59" s="133">
        <v>18</v>
      </c>
      <c r="V59" s="8" t="str">
        <f ca="1">IFERROR(__xludf.DUMMYFUNCTION("""COMPUTED_VALUE"""),"Š")</f>
        <v>Š</v>
      </c>
      <c r="W59" s="8" t="str">
        <f ca="1">IFERROR(__xludf.DUMMYFUNCTION("""COMPUTED_VALUE"""),"N")</f>
        <v>N</v>
      </c>
      <c r="X59" s="8" t="str">
        <f ca="1">IFERROR(__xludf.DUMMYFUNCTION("""COMPUTED_VALUE"""),"N")</f>
        <v>N</v>
      </c>
      <c r="Y59" s="8" t="str">
        <f ca="1">IFERROR(__xludf.DUMMYFUNCTION("""COMPUTED_VALUE"""),"M")</f>
        <v>M</v>
      </c>
      <c r="Z59" s="8" t="str">
        <f ca="1">IFERROR(__xludf.DUMMYFUNCTION("""COMPUTED_VALUE"""),"M")</f>
        <v>M</v>
      </c>
    </row>
    <row r="60" spans="1:26" ht="12.75" x14ac:dyDescent="0.2">
      <c r="A60" s="180"/>
      <c r="B60" s="134" t="s">
        <v>149</v>
      </c>
      <c r="C60" s="135" t="s">
        <v>148</v>
      </c>
      <c r="D60" s="136">
        <v>130</v>
      </c>
      <c r="E60" s="137">
        <v>50</v>
      </c>
      <c r="F60" s="137">
        <v>3</v>
      </c>
      <c r="G60" s="156">
        <v>180</v>
      </c>
      <c r="H60" s="136">
        <v>140</v>
      </c>
      <c r="I60" s="137">
        <v>45</v>
      </c>
      <c r="J60" s="137">
        <v>7</v>
      </c>
      <c r="K60" s="138">
        <v>185</v>
      </c>
      <c r="L60" s="137">
        <v>270</v>
      </c>
      <c r="M60" s="137">
        <v>95</v>
      </c>
      <c r="N60" s="137">
        <v>10</v>
      </c>
      <c r="O60" s="138">
        <v>365</v>
      </c>
      <c r="P60" s="139">
        <v>784</v>
      </c>
      <c r="Q60" s="165"/>
      <c r="R60" s="159"/>
      <c r="S60" s="159"/>
      <c r="T60" s="140">
        <v>218</v>
      </c>
      <c r="U60" s="140">
        <v>18</v>
      </c>
      <c r="V60" s="141" t="str">
        <f ca="1">IFERROR(__xludf.DUMMYFUNCTION("""COMPUTED_VALUE"""),"Š")</f>
        <v>Š</v>
      </c>
      <c r="W60" s="141"/>
      <c r="X60" s="141" t="str">
        <f ca="1">IFERROR(__xludf.DUMMYFUNCTION("""COMPUTED_VALUE"""),"N")</f>
        <v>N</v>
      </c>
      <c r="Y60" s="141"/>
      <c r="Z60" s="8" t="str">
        <f ca="1">IFERROR(__xludf.DUMMYFUNCTION("""COMPUTED_VALUE"""),"M")</f>
        <v>M</v>
      </c>
    </row>
    <row r="61" spans="1:26" ht="12.75" x14ac:dyDescent="0.2">
      <c r="A61" s="172">
        <v>30</v>
      </c>
      <c r="B61" s="127" t="s">
        <v>79</v>
      </c>
      <c r="C61" s="128" t="s">
        <v>49</v>
      </c>
      <c r="D61" s="129">
        <v>136</v>
      </c>
      <c r="E61" s="130">
        <v>51</v>
      </c>
      <c r="F61" s="130">
        <v>4</v>
      </c>
      <c r="G61" s="155">
        <v>187</v>
      </c>
      <c r="H61" s="129">
        <v>140</v>
      </c>
      <c r="I61" s="130">
        <v>60</v>
      </c>
      <c r="J61" s="130">
        <v>5</v>
      </c>
      <c r="K61" s="131">
        <v>200</v>
      </c>
      <c r="L61" s="130">
        <v>276</v>
      </c>
      <c r="M61" s="130">
        <v>111</v>
      </c>
      <c r="N61" s="130">
        <v>9</v>
      </c>
      <c r="O61" s="131">
        <v>387</v>
      </c>
      <c r="P61" s="132">
        <v>783</v>
      </c>
      <c r="Q61" s="173">
        <v>783</v>
      </c>
      <c r="R61" s="174">
        <v>241</v>
      </c>
      <c r="S61" s="174">
        <v>15</v>
      </c>
      <c r="T61" s="133">
        <v>241</v>
      </c>
      <c r="U61" s="133">
        <v>15</v>
      </c>
      <c r="V61" s="8" t="str">
        <f ca="1">IFERROR(__xludf.DUMMYFUNCTION("""COMPUTED_VALUE"""),"Š")</f>
        <v>Š</v>
      </c>
      <c r="W61" s="8" t="str">
        <f ca="1">IFERROR(__xludf.DUMMYFUNCTION("""COMPUTED_VALUE"""),"N")</f>
        <v>N</v>
      </c>
      <c r="X61" s="8" t="str">
        <f ca="1">IFERROR(__xludf.DUMMYFUNCTION("""COMPUTED_VALUE"""),"N")</f>
        <v>N</v>
      </c>
      <c r="Y61" s="8" t="str">
        <f ca="1">IFERROR(__xludf.DUMMYFUNCTION("""COMPUTED_VALUE"""),"M")</f>
        <v>M</v>
      </c>
      <c r="Z61" s="8" t="str">
        <f ca="1">IFERROR(__xludf.DUMMYFUNCTION("""COMPUTED_VALUE"""),"M")</f>
        <v>M</v>
      </c>
    </row>
    <row r="62" spans="1:26" ht="12.75" x14ac:dyDescent="0.2">
      <c r="A62" s="180"/>
      <c r="B62" s="134" t="s">
        <v>80</v>
      </c>
      <c r="C62" s="135" t="s">
        <v>49</v>
      </c>
      <c r="D62" s="136">
        <v>127</v>
      </c>
      <c r="E62" s="137">
        <v>77</v>
      </c>
      <c r="F62" s="137">
        <v>1</v>
      </c>
      <c r="G62" s="156">
        <v>204</v>
      </c>
      <c r="H62" s="136">
        <v>139</v>
      </c>
      <c r="I62" s="137">
        <v>53</v>
      </c>
      <c r="J62" s="137">
        <v>5</v>
      </c>
      <c r="K62" s="138">
        <v>192</v>
      </c>
      <c r="L62" s="137">
        <v>266</v>
      </c>
      <c r="M62" s="137">
        <v>130</v>
      </c>
      <c r="N62" s="137">
        <v>6</v>
      </c>
      <c r="O62" s="138">
        <v>396</v>
      </c>
      <c r="P62" s="139">
        <v>783</v>
      </c>
      <c r="Q62" s="165"/>
      <c r="R62" s="159"/>
      <c r="S62" s="159"/>
      <c r="T62" s="140">
        <v>241</v>
      </c>
      <c r="U62" s="140">
        <v>15</v>
      </c>
      <c r="V62" s="141" t="str">
        <f ca="1">IFERROR(__xludf.DUMMYFUNCTION("""COMPUTED_VALUE"""),"Š")</f>
        <v>Š</v>
      </c>
      <c r="W62" s="141"/>
      <c r="X62" s="141" t="str">
        <f ca="1">IFERROR(__xludf.DUMMYFUNCTION("""COMPUTED_VALUE"""),"N")</f>
        <v>N</v>
      </c>
      <c r="Y62" s="141"/>
      <c r="Z62" s="8" t="str">
        <f ca="1">IFERROR(__xludf.DUMMYFUNCTION("""COMPUTED_VALUE"""),"M")</f>
        <v>M</v>
      </c>
    </row>
    <row r="63" spans="1:26" ht="12.75" x14ac:dyDescent="0.2">
      <c r="A63" s="172">
        <v>31</v>
      </c>
      <c r="B63" s="127" t="s">
        <v>134</v>
      </c>
      <c r="C63" s="128" t="s">
        <v>135</v>
      </c>
      <c r="D63" s="129">
        <v>142</v>
      </c>
      <c r="E63" s="130">
        <v>53</v>
      </c>
      <c r="F63" s="130">
        <v>7</v>
      </c>
      <c r="G63" s="155">
        <v>195</v>
      </c>
      <c r="H63" s="129">
        <v>121</v>
      </c>
      <c r="I63" s="130">
        <v>54</v>
      </c>
      <c r="J63" s="130">
        <v>5</v>
      </c>
      <c r="K63" s="131">
        <v>175</v>
      </c>
      <c r="L63" s="130">
        <v>263</v>
      </c>
      <c r="M63" s="130">
        <v>107</v>
      </c>
      <c r="N63" s="130">
        <v>12</v>
      </c>
      <c r="O63" s="131">
        <v>370</v>
      </c>
      <c r="P63" s="132">
        <v>782</v>
      </c>
      <c r="Q63" s="173">
        <v>782</v>
      </c>
      <c r="R63" s="174">
        <v>230</v>
      </c>
      <c r="S63" s="174">
        <v>18</v>
      </c>
      <c r="T63" s="133">
        <v>230</v>
      </c>
      <c r="U63" s="133">
        <v>18</v>
      </c>
      <c r="V63" s="8" t="str">
        <f ca="1">IFERROR(__xludf.DUMMYFUNCTION("""COMPUTED_VALUE"""),"Š")</f>
        <v>Š</v>
      </c>
      <c r="W63" s="8" t="str">
        <f ca="1">IFERROR(__xludf.DUMMYFUNCTION("""COMPUTED_VALUE"""),"R")</f>
        <v>R</v>
      </c>
      <c r="X63" s="8" t="str">
        <f ca="1">IFERROR(__xludf.DUMMYFUNCTION("""COMPUTED_VALUE"""),"R")</f>
        <v>R</v>
      </c>
      <c r="Y63" s="8" t="str">
        <f ca="1">IFERROR(__xludf.DUMMYFUNCTION("""COMPUTED_VALUE"""),"M")</f>
        <v>M</v>
      </c>
      <c r="Z63" s="8" t="str">
        <f ca="1">IFERROR(__xludf.DUMMYFUNCTION("""COMPUTED_VALUE"""),"M")</f>
        <v>M</v>
      </c>
    </row>
    <row r="64" spans="1:26" ht="12.75" x14ac:dyDescent="0.2">
      <c r="A64" s="180"/>
      <c r="B64" s="134" t="s">
        <v>136</v>
      </c>
      <c r="C64" s="135" t="s">
        <v>135</v>
      </c>
      <c r="D64" s="136">
        <v>149</v>
      </c>
      <c r="E64" s="137">
        <v>52</v>
      </c>
      <c r="F64" s="137">
        <v>4</v>
      </c>
      <c r="G64" s="156">
        <v>201</v>
      </c>
      <c r="H64" s="136">
        <v>140</v>
      </c>
      <c r="I64" s="137">
        <v>71</v>
      </c>
      <c r="J64" s="137">
        <v>2</v>
      </c>
      <c r="K64" s="138">
        <v>211</v>
      </c>
      <c r="L64" s="137">
        <v>289</v>
      </c>
      <c r="M64" s="137">
        <v>123</v>
      </c>
      <c r="N64" s="137">
        <v>6</v>
      </c>
      <c r="O64" s="138">
        <v>412</v>
      </c>
      <c r="P64" s="139">
        <v>782</v>
      </c>
      <c r="Q64" s="165"/>
      <c r="R64" s="159"/>
      <c r="S64" s="159"/>
      <c r="T64" s="140">
        <v>230</v>
      </c>
      <c r="U64" s="140">
        <v>18</v>
      </c>
      <c r="V64" s="141" t="str">
        <f ca="1">IFERROR(__xludf.DUMMYFUNCTION("""COMPUTED_VALUE"""),"Š")</f>
        <v>Š</v>
      </c>
      <c r="W64" s="141"/>
      <c r="X64" s="141" t="str">
        <f ca="1">IFERROR(__xludf.DUMMYFUNCTION("""COMPUTED_VALUE"""),"R")</f>
        <v>R</v>
      </c>
      <c r="Y64" s="141"/>
      <c r="Z64" s="8" t="str">
        <f ca="1">IFERROR(__xludf.DUMMYFUNCTION("""COMPUTED_VALUE"""),"M")</f>
        <v>M</v>
      </c>
    </row>
    <row r="65" spans="1:26" ht="12.75" x14ac:dyDescent="0.2">
      <c r="A65" s="172">
        <v>32</v>
      </c>
      <c r="B65" s="127" t="s">
        <v>92</v>
      </c>
      <c r="C65" s="128" t="s">
        <v>49</v>
      </c>
      <c r="D65" s="129">
        <v>145</v>
      </c>
      <c r="E65" s="130">
        <v>59</v>
      </c>
      <c r="F65" s="130">
        <v>4</v>
      </c>
      <c r="G65" s="155">
        <v>204</v>
      </c>
      <c r="H65" s="129">
        <v>147</v>
      </c>
      <c r="I65" s="130">
        <v>63</v>
      </c>
      <c r="J65" s="130">
        <v>1</v>
      </c>
      <c r="K65" s="131">
        <v>210</v>
      </c>
      <c r="L65" s="130">
        <v>292</v>
      </c>
      <c r="M65" s="130">
        <v>122</v>
      </c>
      <c r="N65" s="130">
        <v>5</v>
      </c>
      <c r="O65" s="131">
        <v>414</v>
      </c>
      <c r="P65" s="132">
        <v>778</v>
      </c>
      <c r="Q65" s="173">
        <v>778</v>
      </c>
      <c r="R65" s="174">
        <v>207</v>
      </c>
      <c r="S65" s="174">
        <v>19</v>
      </c>
      <c r="T65" s="133">
        <v>207</v>
      </c>
      <c r="U65" s="133">
        <v>19</v>
      </c>
      <c r="V65" s="8" t="str">
        <f ca="1">IFERROR(__xludf.DUMMYFUNCTION("""COMPUTED_VALUE"""),"Š")</f>
        <v>Š</v>
      </c>
      <c r="W65" s="8" t="str">
        <f ca="1">IFERROR(__xludf.DUMMYFUNCTION("""COMPUTED_VALUE"""),"R")</f>
        <v>R</v>
      </c>
      <c r="X65" s="8" t="str">
        <f ca="1">IFERROR(__xludf.DUMMYFUNCTION("""COMPUTED_VALUE"""),"R")</f>
        <v>R</v>
      </c>
      <c r="Y65" s="8" t="str">
        <f ca="1">IFERROR(__xludf.DUMMYFUNCTION("""COMPUTED_VALUE"""),"M")</f>
        <v>M</v>
      </c>
      <c r="Z65" s="8" t="str">
        <f ca="1">IFERROR(__xludf.DUMMYFUNCTION("""COMPUTED_VALUE"""),"M")</f>
        <v>M</v>
      </c>
    </row>
    <row r="66" spans="1:26" ht="12.75" x14ac:dyDescent="0.2">
      <c r="A66" s="180"/>
      <c r="B66" s="134" t="s">
        <v>48</v>
      </c>
      <c r="C66" s="135" t="s">
        <v>49</v>
      </c>
      <c r="D66" s="136">
        <v>127</v>
      </c>
      <c r="E66" s="137">
        <v>35</v>
      </c>
      <c r="F66" s="137">
        <v>8</v>
      </c>
      <c r="G66" s="156">
        <v>162</v>
      </c>
      <c r="H66" s="136">
        <v>152</v>
      </c>
      <c r="I66" s="137">
        <v>50</v>
      </c>
      <c r="J66" s="137">
        <v>6</v>
      </c>
      <c r="K66" s="138">
        <v>202</v>
      </c>
      <c r="L66" s="137">
        <v>279</v>
      </c>
      <c r="M66" s="137">
        <v>85</v>
      </c>
      <c r="N66" s="137">
        <v>14</v>
      </c>
      <c r="O66" s="138">
        <v>364</v>
      </c>
      <c r="P66" s="139">
        <v>778</v>
      </c>
      <c r="Q66" s="165"/>
      <c r="R66" s="159"/>
      <c r="S66" s="159"/>
      <c r="T66" s="140">
        <v>207</v>
      </c>
      <c r="U66" s="140">
        <v>19</v>
      </c>
      <c r="V66" s="141" t="str">
        <f ca="1">IFERROR(__xludf.DUMMYFUNCTION("""COMPUTED_VALUE"""),"Š")</f>
        <v>Š</v>
      </c>
      <c r="W66" s="141"/>
      <c r="X66" s="141" t="str">
        <f ca="1">IFERROR(__xludf.DUMMYFUNCTION("""COMPUTED_VALUE"""),"R")</f>
        <v>R</v>
      </c>
      <c r="Y66" s="141"/>
      <c r="Z66" s="8" t="str">
        <f ca="1">IFERROR(__xludf.DUMMYFUNCTION("""COMPUTED_VALUE"""),"M")</f>
        <v>M</v>
      </c>
    </row>
    <row r="67" spans="1:26" ht="12.75" x14ac:dyDescent="0.2">
      <c r="A67" s="172">
        <v>33</v>
      </c>
      <c r="B67" s="127" t="s">
        <v>137</v>
      </c>
      <c r="C67" s="128" t="s">
        <v>135</v>
      </c>
      <c r="D67" s="129">
        <v>146</v>
      </c>
      <c r="E67" s="130">
        <v>51</v>
      </c>
      <c r="F67" s="130">
        <v>7</v>
      </c>
      <c r="G67" s="155">
        <v>197</v>
      </c>
      <c r="H67" s="129">
        <v>134</v>
      </c>
      <c r="I67" s="130">
        <v>62</v>
      </c>
      <c r="J67" s="130">
        <v>4</v>
      </c>
      <c r="K67" s="131">
        <v>196</v>
      </c>
      <c r="L67" s="130">
        <v>280</v>
      </c>
      <c r="M67" s="130">
        <v>113</v>
      </c>
      <c r="N67" s="130">
        <v>11</v>
      </c>
      <c r="O67" s="131">
        <v>393</v>
      </c>
      <c r="P67" s="132">
        <v>777</v>
      </c>
      <c r="Q67" s="173">
        <v>777</v>
      </c>
      <c r="R67" s="174">
        <v>220</v>
      </c>
      <c r="S67" s="174">
        <v>24</v>
      </c>
      <c r="T67" s="133">
        <v>220</v>
      </c>
      <c r="U67" s="133">
        <v>24</v>
      </c>
      <c r="V67" s="8" t="str">
        <f ca="1">IFERROR(__xludf.DUMMYFUNCTION("""COMPUTED_VALUE"""),"Š")</f>
        <v>Š</v>
      </c>
      <c r="W67" s="8" t="str">
        <f ca="1">IFERROR(__xludf.DUMMYFUNCTION("""COMPUTED_VALUE"""),"R")</f>
        <v>R</v>
      </c>
      <c r="X67" s="8" t="str">
        <f ca="1">IFERROR(__xludf.DUMMYFUNCTION("""COMPUTED_VALUE"""),"R")</f>
        <v>R</v>
      </c>
      <c r="Y67" s="8" t="str">
        <f ca="1">IFERROR(__xludf.DUMMYFUNCTION("""COMPUTED_VALUE"""),"M")</f>
        <v>M</v>
      </c>
      <c r="Z67" s="8" t="str">
        <f ca="1">IFERROR(__xludf.DUMMYFUNCTION("""COMPUTED_VALUE"""),"M")</f>
        <v>M</v>
      </c>
    </row>
    <row r="68" spans="1:26" ht="12.75" x14ac:dyDescent="0.2">
      <c r="A68" s="180"/>
      <c r="B68" s="134" t="s">
        <v>138</v>
      </c>
      <c r="C68" s="135" t="s">
        <v>135</v>
      </c>
      <c r="D68" s="136">
        <v>144</v>
      </c>
      <c r="E68" s="137">
        <v>53</v>
      </c>
      <c r="F68" s="137">
        <v>6</v>
      </c>
      <c r="G68" s="156">
        <v>197</v>
      </c>
      <c r="H68" s="136">
        <v>133</v>
      </c>
      <c r="I68" s="137">
        <v>54</v>
      </c>
      <c r="J68" s="137">
        <v>7</v>
      </c>
      <c r="K68" s="138">
        <v>187</v>
      </c>
      <c r="L68" s="137">
        <v>277</v>
      </c>
      <c r="M68" s="137">
        <v>107</v>
      </c>
      <c r="N68" s="137">
        <v>13</v>
      </c>
      <c r="O68" s="138">
        <v>384</v>
      </c>
      <c r="P68" s="139">
        <v>777</v>
      </c>
      <c r="Q68" s="165"/>
      <c r="R68" s="159"/>
      <c r="S68" s="159"/>
      <c r="T68" s="140">
        <v>220</v>
      </c>
      <c r="U68" s="140">
        <v>24</v>
      </c>
      <c r="V68" s="141" t="str">
        <f ca="1">IFERROR(__xludf.DUMMYFUNCTION("""COMPUTED_VALUE"""),"Š")</f>
        <v>Š</v>
      </c>
      <c r="W68" s="141"/>
      <c r="X68" s="141" t="str">
        <f ca="1">IFERROR(__xludf.DUMMYFUNCTION("""COMPUTED_VALUE"""),"R")</f>
        <v>R</v>
      </c>
      <c r="Y68" s="141"/>
      <c r="Z68" s="8" t="str">
        <f ca="1">IFERROR(__xludf.DUMMYFUNCTION("""COMPUTED_VALUE"""),"M")</f>
        <v>M</v>
      </c>
    </row>
    <row r="69" spans="1:26" ht="12.75" x14ac:dyDescent="0.2">
      <c r="A69" s="172">
        <v>34</v>
      </c>
      <c r="B69" s="127" t="s">
        <v>125</v>
      </c>
      <c r="C69" s="128" t="s">
        <v>126</v>
      </c>
      <c r="D69" s="129">
        <v>135</v>
      </c>
      <c r="E69" s="130">
        <v>62</v>
      </c>
      <c r="F69" s="130">
        <v>4</v>
      </c>
      <c r="G69" s="155">
        <v>197</v>
      </c>
      <c r="H69" s="129">
        <v>135</v>
      </c>
      <c r="I69" s="130">
        <v>52</v>
      </c>
      <c r="J69" s="130">
        <v>5</v>
      </c>
      <c r="K69" s="131">
        <v>187</v>
      </c>
      <c r="L69" s="130">
        <v>270</v>
      </c>
      <c r="M69" s="130">
        <v>114</v>
      </c>
      <c r="N69" s="130">
        <v>9</v>
      </c>
      <c r="O69" s="131">
        <v>384</v>
      </c>
      <c r="P69" s="132">
        <v>771</v>
      </c>
      <c r="Q69" s="173">
        <v>771</v>
      </c>
      <c r="R69" s="174">
        <v>223</v>
      </c>
      <c r="S69" s="174">
        <v>19</v>
      </c>
      <c r="T69" s="133">
        <v>223</v>
      </c>
      <c r="U69" s="133">
        <v>19</v>
      </c>
      <c r="V69" s="8" t="str">
        <f ca="1">IFERROR(__xludf.DUMMYFUNCTION("""COMPUTED_VALUE"""),"Š")</f>
        <v>Š</v>
      </c>
      <c r="W69" s="8" t="str">
        <f ca="1">IFERROR(__xludf.DUMMYFUNCTION("""COMPUTED_VALUE"""),"N")</f>
        <v>N</v>
      </c>
      <c r="X69" s="8" t="str">
        <f ca="1">IFERROR(__xludf.DUMMYFUNCTION("""COMPUTED_VALUE"""),"N")</f>
        <v>N</v>
      </c>
      <c r="Y69" s="8" t="str">
        <f ca="1">IFERROR(__xludf.DUMMYFUNCTION("""COMPUTED_VALUE"""),"M")</f>
        <v>M</v>
      </c>
      <c r="Z69" s="8" t="str">
        <f ca="1">IFERROR(__xludf.DUMMYFUNCTION("""COMPUTED_VALUE"""),"M")</f>
        <v>M</v>
      </c>
    </row>
    <row r="70" spans="1:26" ht="12.75" x14ac:dyDescent="0.2">
      <c r="A70" s="180"/>
      <c r="B70" s="134" t="s">
        <v>127</v>
      </c>
      <c r="C70" s="135" t="s">
        <v>126</v>
      </c>
      <c r="D70" s="136">
        <v>147</v>
      </c>
      <c r="E70" s="137">
        <v>58</v>
      </c>
      <c r="F70" s="137">
        <v>3</v>
      </c>
      <c r="G70" s="156">
        <v>205</v>
      </c>
      <c r="H70" s="136">
        <v>131</v>
      </c>
      <c r="I70" s="137">
        <v>51</v>
      </c>
      <c r="J70" s="137">
        <v>7</v>
      </c>
      <c r="K70" s="138">
        <v>182</v>
      </c>
      <c r="L70" s="137">
        <v>278</v>
      </c>
      <c r="M70" s="137">
        <v>109</v>
      </c>
      <c r="N70" s="137">
        <v>10</v>
      </c>
      <c r="O70" s="138">
        <v>387</v>
      </c>
      <c r="P70" s="139">
        <v>771</v>
      </c>
      <c r="Q70" s="165"/>
      <c r="R70" s="159"/>
      <c r="S70" s="159"/>
      <c r="T70" s="140">
        <v>223</v>
      </c>
      <c r="U70" s="140">
        <v>19</v>
      </c>
      <c r="V70" s="141" t="str">
        <f ca="1">IFERROR(__xludf.DUMMYFUNCTION("""COMPUTED_VALUE"""),"Š")</f>
        <v>Š</v>
      </c>
      <c r="W70" s="141"/>
      <c r="X70" s="141" t="str">
        <f ca="1">IFERROR(__xludf.DUMMYFUNCTION("""COMPUTED_VALUE"""),"N")</f>
        <v>N</v>
      </c>
      <c r="Y70" s="141"/>
      <c r="Z70" s="8" t="str">
        <f ca="1">IFERROR(__xludf.DUMMYFUNCTION("""COMPUTED_VALUE"""),"M")</f>
        <v>M</v>
      </c>
    </row>
    <row r="71" spans="1:26" ht="12.75" x14ac:dyDescent="0.2">
      <c r="A71" s="172">
        <v>35</v>
      </c>
      <c r="B71" s="127" t="s">
        <v>122</v>
      </c>
      <c r="C71" s="128" t="s">
        <v>123</v>
      </c>
      <c r="D71" s="129">
        <v>138</v>
      </c>
      <c r="E71" s="130">
        <v>52</v>
      </c>
      <c r="F71" s="130">
        <v>3</v>
      </c>
      <c r="G71" s="155">
        <v>190</v>
      </c>
      <c r="H71" s="129">
        <v>143</v>
      </c>
      <c r="I71" s="130">
        <v>63</v>
      </c>
      <c r="J71" s="130">
        <v>2</v>
      </c>
      <c r="K71" s="131">
        <v>206</v>
      </c>
      <c r="L71" s="130">
        <v>281</v>
      </c>
      <c r="M71" s="130">
        <v>115</v>
      </c>
      <c r="N71" s="130">
        <v>5</v>
      </c>
      <c r="O71" s="131">
        <v>396</v>
      </c>
      <c r="P71" s="132">
        <v>770</v>
      </c>
      <c r="Q71" s="173">
        <v>770</v>
      </c>
      <c r="R71" s="174">
        <v>223</v>
      </c>
      <c r="S71" s="174">
        <v>10</v>
      </c>
      <c r="T71" s="133">
        <v>223</v>
      </c>
      <c r="U71" s="133">
        <v>10</v>
      </c>
      <c r="V71" s="8" t="str">
        <f ca="1">IFERROR(__xludf.DUMMYFUNCTION("""COMPUTED_VALUE"""),"Š")</f>
        <v>Š</v>
      </c>
      <c r="W71" s="8" t="str">
        <f ca="1">IFERROR(__xludf.DUMMYFUNCTION("""COMPUTED_VALUE"""),"N")</f>
        <v>N</v>
      </c>
      <c r="X71" s="8" t="str">
        <f ca="1">IFERROR(__xludf.DUMMYFUNCTION("""COMPUTED_VALUE"""),"N")</f>
        <v>N</v>
      </c>
      <c r="Y71" s="8" t="str">
        <f ca="1">IFERROR(__xludf.DUMMYFUNCTION("""COMPUTED_VALUE"""),"M")</f>
        <v>M</v>
      </c>
      <c r="Z71" s="8" t="str">
        <f ca="1">IFERROR(__xludf.DUMMYFUNCTION("""COMPUTED_VALUE"""),"M")</f>
        <v>M</v>
      </c>
    </row>
    <row r="72" spans="1:26" ht="12.75" x14ac:dyDescent="0.2">
      <c r="A72" s="180"/>
      <c r="B72" s="134" t="s">
        <v>124</v>
      </c>
      <c r="C72" s="135" t="s">
        <v>123</v>
      </c>
      <c r="D72" s="136">
        <v>127</v>
      </c>
      <c r="E72" s="137">
        <v>57</v>
      </c>
      <c r="F72" s="137">
        <v>2</v>
      </c>
      <c r="G72" s="156">
        <v>184</v>
      </c>
      <c r="H72" s="136">
        <v>139</v>
      </c>
      <c r="I72" s="137">
        <v>51</v>
      </c>
      <c r="J72" s="137">
        <v>3</v>
      </c>
      <c r="K72" s="138">
        <v>190</v>
      </c>
      <c r="L72" s="137">
        <v>266</v>
      </c>
      <c r="M72" s="137">
        <v>108</v>
      </c>
      <c r="N72" s="137">
        <v>5</v>
      </c>
      <c r="O72" s="138">
        <v>374</v>
      </c>
      <c r="P72" s="139">
        <v>770</v>
      </c>
      <c r="Q72" s="165"/>
      <c r="R72" s="159"/>
      <c r="S72" s="159"/>
      <c r="T72" s="140">
        <v>223</v>
      </c>
      <c r="U72" s="140">
        <v>10</v>
      </c>
      <c r="V72" s="141" t="str">
        <f ca="1">IFERROR(__xludf.DUMMYFUNCTION("""COMPUTED_VALUE"""),"Š")</f>
        <v>Š</v>
      </c>
      <c r="W72" s="141"/>
      <c r="X72" s="141" t="str">
        <f ca="1">IFERROR(__xludf.DUMMYFUNCTION("""COMPUTED_VALUE"""),"N")</f>
        <v>N</v>
      </c>
      <c r="Y72" s="141"/>
      <c r="Z72" s="8" t="str">
        <f ca="1">IFERROR(__xludf.DUMMYFUNCTION("""COMPUTED_VALUE"""),"M")</f>
        <v>M</v>
      </c>
    </row>
    <row r="73" spans="1:26" ht="12.75" x14ac:dyDescent="0.2">
      <c r="A73" s="172">
        <v>36</v>
      </c>
      <c r="B73" s="127" t="s">
        <v>71</v>
      </c>
      <c r="C73" s="128" t="s">
        <v>49</v>
      </c>
      <c r="D73" s="129">
        <v>143</v>
      </c>
      <c r="E73" s="130">
        <v>70</v>
      </c>
      <c r="F73" s="130">
        <v>2</v>
      </c>
      <c r="G73" s="155">
        <v>213</v>
      </c>
      <c r="H73" s="129">
        <v>143</v>
      </c>
      <c r="I73" s="130">
        <v>52</v>
      </c>
      <c r="J73" s="130">
        <v>6</v>
      </c>
      <c r="K73" s="131">
        <v>195</v>
      </c>
      <c r="L73" s="130">
        <v>286</v>
      </c>
      <c r="M73" s="130">
        <v>122</v>
      </c>
      <c r="N73" s="130">
        <v>8</v>
      </c>
      <c r="O73" s="131">
        <v>408</v>
      </c>
      <c r="P73" s="132">
        <v>769</v>
      </c>
      <c r="Q73" s="173">
        <v>769</v>
      </c>
      <c r="R73" s="174">
        <v>225</v>
      </c>
      <c r="S73" s="174">
        <v>20</v>
      </c>
      <c r="T73" s="133">
        <v>225</v>
      </c>
      <c r="U73" s="133">
        <v>20</v>
      </c>
      <c r="V73" s="8" t="str">
        <f ca="1">IFERROR(__xludf.DUMMYFUNCTION("""COMPUTED_VALUE"""),"Š")</f>
        <v>Š</v>
      </c>
      <c r="W73" s="8" t="str">
        <f ca="1">IFERROR(__xludf.DUMMYFUNCTION("""COMPUTED_VALUE"""),"R")</f>
        <v>R</v>
      </c>
      <c r="X73" s="8" t="str">
        <f ca="1">IFERROR(__xludf.DUMMYFUNCTION("""COMPUTED_VALUE"""),"R")</f>
        <v>R</v>
      </c>
      <c r="Y73" s="8" t="str">
        <f ca="1">IFERROR(__xludf.DUMMYFUNCTION("""COMPUTED_VALUE"""),"M")</f>
        <v>M</v>
      </c>
      <c r="Z73" s="8" t="str">
        <f ca="1">IFERROR(__xludf.DUMMYFUNCTION("""COMPUTED_VALUE"""),"M")</f>
        <v>M</v>
      </c>
    </row>
    <row r="74" spans="1:26" ht="12.75" x14ac:dyDescent="0.2">
      <c r="A74" s="180"/>
      <c r="B74" s="134" t="s">
        <v>130</v>
      </c>
      <c r="C74" s="135" t="s">
        <v>49</v>
      </c>
      <c r="D74" s="136">
        <v>116</v>
      </c>
      <c r="E74" s="137">
        <v>43</v>
      </c>
      <c r="F74" s="137">
        <v>8</v>
      </c>
      <c r="G74" s="156">
        <v>159</v>
      </c>
      <c r="H74" s="136">
        <v>142</v>
      </c>
      <c r="I74" s="137">
        <v>60</v>
      </c>
      <c r="J74" s="137">
        <v>4</v>
      </c>
      <c r="K74" s="138">
        <v>202</v>
      </c>
      <c r="L74" s="137">
        <v>258</v>
      </c>
      <c r="M74" s="137">
        <v>103</v>
      </c>
      <c r="N74" s="137">
        <v>12</v>
      </c>
      <c r="O74" s="138">
        <v>361</v>
      </c>
      <c r="P74" s="139">
        <v>769</v>
      </c>
      <c r="Q74" s="165"/>
      <c r="R74" s="159"/>
      <c r="S74" s="159"/>
      <c r="T74" s="140">
        <v>225</v>
      </c>
      <c r="U74" s="140">
        <v>20</v>
      </c>
      <c r="V74" s="141" t="str">
        <f ca="1">IFERROR(__xludf.DUMMYFUNCTION("""COMPUTED_VALUE"""),"Š")</f>
        <v>Š</v>
      </c>
      <c r="W74" s="141"/>
      <c r="X74" s="141" t="str">
        <f ca="1">IFERROR(__xludf.DUMMYFUNCTION("""COMPUTED_VALUE"""),"R")</f>
        <v>R</v>
      </c>
      <c r="Y74" s="141"/>
      <c r="Z74" s="8" t="str">
        <f ca="1">IFERROR(__xludf.DUMMYFUNCTION("""COMPUTED_VALUE"""),"M")</f>
        <v>M</v>
      </c>
    </row>
    <row r="75" spans="1:26" ht="12.75" x14ac:dyDescent="0.2">
      <c r="A75" s="172">
        <v>37</v>
      </c>
      <c r="B75" s="127" t="s">
        <v>144</v>
      </c>
      <c r="C75" s="128" t="s">
        <v>49</v>
      </c>
      <c r="D75" s="129">
        <v>125</v>
      </c>
      <c r="E75" s="130">
        <v>66</v>
      </c>
      <c r="F75" s="130">
        <v>3</v>
      </c>
      <c r="G75" s="155">
        <v>191</v>
      </c>
      <c r="H75" s="129">
        <v>156</v>
      </c>
      <c r="I75" s="130">
        <v>42</v>
      </c>
      <c r="J75" s="130">
        <v>9</v>
      </c>
      <c r="K75" s="131">
        <v>198</v>
      </c>
      <c r="L75" s="130">
        <v>281</v>
      </c>
      <c r="M75" s="130">
        <v>108</v>
      </c>
      <c r="N75" s="130">
        <v>12</v>
      </c>
      <c r="O75" s="131">
        <v>389</v>
      </c>
      <c r="P75" s="132">
        <v>761</v>
      </c>
      <c r="Q75" s="173">
        <v>761</v>
      </c>
      <c r="R75" s="174">
        <v>188</v>
      </c>
      <c r="S75" s="174">
        <v>29</v>
      </c>
      <c r="T75" s="133">
        <v>188</v>
      </c>
      <c r="U75" s="133">
        <v>29</v>
      </c>
      <c r="V75" s="8" t="str">
        <f ca="1">IFERROR(__xludf.DUMMYFUNCTION("""COMPUTED_VALUE"""),"Š")</f>
        <v>Š</v>
      </c>
      <c r="W75" s="8" t="str">
        <f ca="1">IFERROR(__xludf.DUMMYFUNCTION("""COMPUTED_VALUE"""),"R")</f>
        <v>R</v>
      </c>
      <c r="X75" s="8" t="str">
        <f ca="1">IFERROR(__xludf.DUMMYFUNCTION("""COMPUTED_VALUE"""),"R")</f>
        <v>R</v>
      </c>
      <c r="Y75" s="8" t="str">
        <f ca="1">IFERROR(__xludf.DUMMYFUNCTION("""COMPUTED_VALUE"""),"M")</f>
        <v>M</v>
      </c>
      <c r="Z75" s="8" t="str">
        <f ca="1">IFERROR(__xludf.DUMMYFUNCTION("""COMPUTED_VALUE"""),"M")</f>
        <v>M</v>
      </c>
    </row>
    <row r="76" spans="1:26" ht="12.75" x14ac:dyDescent="0.2">
      <c r="A76" s="180"/>
      <c r="B76" s="134" t="s">
        <v>145</v>
      </c>
      <c r="C76" s="135" t="s">
        <v>49</v>
      </c>
      <c r="D76" s="136">
        <v>141</v>
      </c>
      <c r="E76" s="137">
        <v>53</v>
      </c>
      <c r="F76" s="137">
        <v>5</v>
      </c>
      <c r="G76" s="156">
        <v>194</v>
      </c>
      <c r="H76" s="136">
        <v>151</v>
      </c>
      <c r="I76" s="137">
        <v>27</v>
      </c>
      <c r="J76" s="137">
        <v>12</v>
      </c>
      <c r="K76" s="138">
        <v>178</v>
      </c>
      <c r="L76" s="137">
        <v>292</v>
      </c>
      <c r="M76" s="137">
        <v>80</v>
      </c>
      <c r="N76" s="137">
        <v>17</v>
      </c>
      <c r="O76" s="138">
        <v>372</v>
      </c>
      <c r="P76" s="139">
        <v>761</v>
      </c>
      <c r="Q76" s="165"/>
      <c r="R76" s="159"/>
      <c r="S76" s="159"/>
      <c r="T76" s="140">
        <v>188</v>
      </c>
      <c r="U76" s="140">
        <v>29</v>
      </c>
      <c r="V76" s="141" t="str">
        <f ca="1">IFERROR(__xludf.DUMMYFUNCTION("""COMPUTED_VALUE"""),"Š")</f>
        <v>Š</v>
      </c>
      <c r="W76" s="141"/>
      <c r="X76" s="141" t="str">
        <f ca="1">IFERROR(__xludf.DUMMYFUNCTION("""COMPUTED_VALUE"""),"R")</f>
        <v>R</v>
      </c>
      <c r="Y76" s="141"/>
      <c r="Z76" s="8" t="str">
        <f ca="1">IFERROR(__xludf.DUMMYFUNCTION("""COMPUTED_VALUE"""),"M")</f>
        <v>M</v>
      </c>
    </row>
    <row r="77" spans="1:26" ht="12.75" x14ac:dyDescent="0.2">
      <c r="A77" s="172">
        <v>38</v>
      </c>
      <c r="B77" s="127" t="s">
        <v>100</v>
      </c>
      <c r="C77" s="128" t="s">
        <v>98</v>
      </c>
      <c r="D77" s="129">
        <v>127</v>
      </c>
      <c r="E77" s="130">
        <v>31</v>
      </c>
      <c r="F77" s="130">
        <v>11</v>
      </c>
      <c r="G77" s="155">
        <v>158</v>
      </c>
      <c r="H77" s="129">
        <v>124</v>
      </c>
      <c r="I77" s="130">
        <v>43</v>
      </c>
      <c r="J77" s="130">
        <v>8</v>
      </c>
      <c r="K77" s="131">
        <v>167</v>
      </c>
      <c r="L77" s="130">
        <v>251</v>
      </c>
      <c r="M77" s="130">
        <v>74</v>
      </c>
      <c r="N77" s="130">
        <v>19</v>
      </c>
      <c r="O77" s="131">
        <v>325</v>
      </c>
      <c r="P77" s="132">
        <v>757</v>
      </c>
      <c r="Q77" s="173">
        <v>757</v>
      </c>
      <c r="R77" s="174">
        <v>200</v>
      </c>
      <c r="S77" s="174">
        <v>20</v>
      </c>
      <c r="T77" s="133">
        <v>200</v>
      </c>
      <c r="U77" s="133">
        <v>20</v>
      </c>
      <c r="V77" s="8" t="str">
        <f ca="1">IFERROR(__xludf.DUMMYFUNCTION("""COMPUTED_VALUE"""),"TV")</f>
        <v>TV</v>
      </c>
      <c r="W77" s="8" t="str">
        <f ca="1">IFERROR(__xludf.DUMMYFUNCTION("""COMPUTED_VALUE"""),"R")</f>
        <v>R</v>
      </c>
      <c r="X77" s="8" t="str">
        <f ca="1">IFERROR(__xludf.DUMMYFUNCTION("""COMPUTED_VALUE"""),"R")</f>
        <v>R</v>
      </c>
      <c r="Y77" s="8" t="str">
        <f ca="1">IFERROR(__xludf.DUMMYFUNCTION("""COMPUTED_VALUE"""),"S")</f>
        <v>S</v>
      </c>
      <c r="Z77" s="8" t="str">
        <f ca="1">IFERROR(__xludf.DUMMYFUNCTION("""COMPUTED_VALUE"""),"S")</f>
        <v>S</v>
      </c>
    </row>
    <row r="78" spans="1:26" ht="12.75" x14ac:dyDescent="0.2">
      <c r="A78" s="180"/>
      <c r="B78" s="134" t="s">
        <v>101</v>
      </c>
      <c r="C78" s="135" t="s">
        <v>98</v>
      </c>
      <c r="D78" s="136">
        <v>155</v>
      </c>
      <c r="E78" s="137">
        <v>63</v>
      </c>
      <c r="F78" s="137">
        <v>0</v>
      </c>
      <c r="G78" s="156">
        <v>218</v>
      </c>
      <c r="H78" s="136">
        <v>151</v>
      </c>
      <c r="I78" s="137">
        <v>63</v>
      </c>
      <c r="J78" s="137">
        <v>1</v>
      </c>
      <c r="K78" s="138">
        <v>214</v>
      </c>
      <c r="L78" s="137">
        <v>306</v>
      </c>
      <c r="M78" s="137">
        <v>126</v>
      </c>
      <c r="N78" s="137">
        <v>1</v>
      </c>
      <c r="O78" s="138">
        <v>432</v>
      </c>
      <c r="P78" s="139">
        <v>757</v>
      </c>
      <c r="Q78" s="165"/>
      <c r="R78" s="159"/>
      <c r="S78" s="159"/>
      <c r="T78" s="140">
        <v>200</v>
      </c>
      <c r="U78" s="140">
        <v>20</v>
      </c>
      <c r="V78" s="141" t="str">
        <f ca="1">IFERROR(__xludf.DUMMYFUNCTION("""COMPUTED_VALUE"""),"TV")</f>
        <v>TV</v>
      </c>
      <c r="W78" s="141"/>
      <c r="X78" s="141" t="str">
        <f ca="1">IFERROR(__xludf.DUMMYFUNCTION("""COMPUTED_VALUE"""),"R")</f>
        <v>R</v>
      </c>
      <c r="Y78" s="141"/>
      <c r="Z78" s="8" t="str">
        <f ca="1">IFERROR(__xludf.DUMMYFUNCTION("""COMPUTED_VALUE"""),"S")</f>
        <v>S</v>
      </c>
    </row>
    <row r="79" spans="1:26" ht="12.75" x14ac:dyDescent="0.2">
      <c r="A79" s="172">
        <v>39</v>
      </c>
      <c r="B79" s="127" t="s">
        <v>68</v>
      </c>
      <c r="C79" s="128" t="s">
        <v>49</v>
      </c>
      <c r="D79" s="129">
        <v>113</v>
      </c>
      <c r="E79" s="130">
        <v>45</v>
      </c>
      <c r="F79" s="130">
        <v>7</v>
      </c>
      <c r="G79" s="155">
        <v>158</v>
      </c>
      <c r="H79" s="129">
        <v>130</v>
      </c>
      <c r="I79" s="130">
        <v>51</v>
      </c>
      <c r="J79" s="130">
        <v>5</v>
      </c>
      <c r="K79" s="131">
        <v>181</v>
      </c>
      <c r="L79" s="130">
        <v>243</v>
      </c>
      <c r="M79" s="130">
        <v>96</v>
      </c>
      <c r="N79" s="130">
        <v>12</v>
      </c>
      <c r="O79" s="131">
        <v>339</v>
      </c>
      <c r="P79" s="132">
        <v>752</v>
      </c>
      <c r="Q79" s="173">
        <v>752</v>
      </c>
      <c r="R79" s="174">
        <v>236</v>
      </c>
      <c r="S79" s="174">
        <v>15</v>
      </c>
      <c r="T79" s="133">
        <v>236</v>
      </c>
      <c r="U79" s="133">
        <v>15</v>
      </c>
      <c r="V79" s="8" t="str">
        <f ca="1">IFERROR(__xludf.DUMMYFUNCTION("""COMPUTED_VALUE"""),"Š")</f>
        <v>Š</v>
      </c>
      <c r="W79" s="8" t="str">
        <f ca="1">IFERROR(__xludf.DUMMYFUNCTION("""COMPUTED_VALUE"""),"R")</f>
        <v>R</v>
      </c>
      <c r="X79" s="8" t="str">
        <f ca="1">IFERROR(__xludf.DUMMYFUNCTION("""COMPUTED_VALUE"""),"R")</f>
        <v>R</v>
      </c>
      <c r="Y79" s="8" t="str">
        <f ca="1">IFERROR(__xludf.DUMMYFUNCTION("""COMPUTED_VALUE"""),"Ž")</f>
        <v>Ž</v>
      </c>
      <c r="Z79" s="8" t="str">
        <f ca="1">IFERROR(__xludf.DUMMYFUNCTION("""COMPUTED_VALUE"""),"Ž")</f>
        <v>Ž</v>
      </c>
    </row>
    <row r="80" spans="1:26" ht="12.75" x14ac:dyDescent="0.2">
      <c r="A80" s="180"/>
      <c r="B80" s="134" t="s">
        <v>70</v>
      </c>
      <c r="C80" s="135" t="s">
        <v>49</v>
      </c>
      <c r="D80" s="136">
        <v>139</v>
      </c>
      <c r="E80" s="137">
        <v>78</v>
      </c>
      <c r="F80" s="137"/>
      <c r="G80" s="156">
        <v>217</v>
      </c>
      <c r="H80" s="136">
        <v>134</v>
      </c>
      <c r="I80" s="137">
        <v>62</v>
      </c>
      <c r="J80" s="137">
        <v>3</v>
      </c>
      <c r="K80" s="138">
        <v>196</v>
      </c>
      <c r="L80" s="137">
        <v>273</v>
      </c>
      <c r="M80" s="137">
        <v>140</v>
      </c>
      <c r="N80" s="137">
        <v>3</v>
      </c>
      <c r="O80" s="138">
        <v>413</v>
      </c>
      <c r="P80" s="139">
        <v>752</v>
      </c>
      <c r="Q80" s="165"/>
      <c r="R80" s="159"/>
      <c r="S80" s="159"/>
      <c r="T80" s="140">
        <v>236</v>
      </c>
      <c r="U80" s="140">
        <v>15</v>
      </c>
      <c r="V80" s="141" t="str">
        <f ca="1">IFERROR(__xludf.DUMMYFUNCTION("""COMPUTED_VALUE"""),"Š")</f>
        <v>Š</v>
      </c>
      <c r="W80" s="141"/>
      <c r="X80" s="141" t="str">
        <f ca="1">IFERROR(__xludf.DUMMYFUNCTION("""COMPUTED_VALUE"""),"R")</f>
        <v>R</v>
      </c>
      <c r="Y80" s="141"/>
      <c r="Z80" s="8" t="str">
        <f ca="1">IFERROR(__xludf.DUMMYFUNCTION("""COMPUTED_VALUE"""),"Ž")</f>
        <v>Ž</v>
      </c>
    </row>
    <row r="81" spans="1:26" ht="12.75" x14ac:dyDescent="0.2">
      <c r="A81" s="172">
        <v>40</v>
      </c>
      <c r="B81" s="127" t="s">
        <v>85</v>
      </c>
      <c r="C81" s="128" t="s">
        <v>49</v>
      </c>
      <c r="D81" s="129">
        <v>129</v>
      </c>
      <c r="E81" s="130">
        <v>34</v>
      </c>
      <c r="F81" s="130">
        <v>13</v>
      </c>
      <c r="G81" s="155">
        <v>163</v>
      </c>
      <c r="H81" s="129">
        <v>134</v>
      </c>
      <c r="I81" s="130">
        <v>52</v>
      </c>
      <c r="J81" s="130">
        <v>5</v>
      </c>
      <c r="K81" s="131">
        <v>186</v>
      </c>
      <c r="L81" s="130">
        <v>263</v>
      </c>
      <c r="M81" s="130">
        <v>86</v>
      </c>
      <c r="N81" s="130">
        <v>18</v>
      </c>
      <c r="O81" s="131">
        <v>349</v>
      </c>
      <c r="P81" s="132">
        <v>748</v>
      </c>
      <c r="Q81" s="173">
        <v>748</v>
      </c>
      <c r="R81" s="174">
        <v>214</v>
      </c>
      <c r="S81" s="174">
        <v>25</v>
      </c>
      <c r="T81" s="133">
        <v>214</v>
      </c>
      <c r="U81" s="133">
        <v>25</v>
      </c>
      <c r="V81" s="8" t="str">
        <f ca="1">IFERROR(__xludf.DUMMYFUNCTION("""COMPUTED_VALUE"""),"TV")</f>
        <v>TV</v>
      </c>
      <c r="W81" s="8" t="str">
        <f ca="1">IFERROR(__xludf.DUMMYFUNCTION("""COMPUTED_VALUE"""),"R")</f>
        <v>R</v>
      </c>
      <c r="X81" s="8" t="str">
        <f ca="1">IFERROR(__xludf.DUMMYFUNCTION("""COMPUTED_VALUE"""),"R")</f>
        <v>R</v>
      </c>
      <c r="Y81" s="8" t="str">
        <f ca="1">IFERROR(__xludf.DUMMYFUNCTION("""COMPUTED_VALUE"""),"Ž")</f>
        <v>Ž</v>
      </c>
      <c r="Z81" s="8" t="str">
        <f ca="1">IFERROR(__xludf.DUMMYFUNCTION("""COMPUTED_VALUE"""),"Ž")</f>
        <v>Ž</v>
      </c>
    </row>
    <row r="82" spans="1:26" ht="12.75" x14ac:dyDescent="0.2">
      <c r="A82" s="165"/>
      <c r="B82" s="134" t="s">
        <v>86</v>
      </c>
      <c r="C82" s="135" t="s">
        <v>49</v>
      </c>
      <c r="D82" s="136">
        <v>138</v>
      </c>
      <c r="E82" s="137">
        <v>65</v>
      </c>
      <c r="F82" s="137">
        <v>5</v>
      </c>
      <c r="G82" s="156">
        <v>203</v>
      </c>
      <c r="H82" s="137">
        <v>133</v>
      </c>
      <c r="I82" s="137">
        <v>63</v>
      </c>
      <c r="J82" s="137">
        <v>2</v>
      </c>
      <c r="K82" s="138">
        <v>196</v>
      </c>
      <c r="L82" s="137">
        <v>271</v>
      </c>
      <c r="M82" s="137">
        <v>128</v>
      </c>
      <c r="N82" s="137">
        <v>7</v>
      </c>
      <c r="O82" s="138">
        <v>399</v>
      </c>
      <c r="P82" s="139">
        <v>748</v>
      </c>
      <c r="Q82" s="165"/>
      <c r="R82" s="159"/>
      <c r="S82" s="159"/>
      <c r="T82" s="140">
        <v>214</v>
      </c>
      <c r="U82" s="140">
        <v>25</v>
      </c>
      <c r="V82" s="141" t="str">
        <f ca="1">IFERROR(__xludf.DUMMYFUNCTION("""COMPUTED_VALUE"""),"TV")</f>
        <v>TV</v>
      </c>
      <c r="W82" s="141"/>
      <c r="X82" s="141" t="str">
        <f ca="1">IFERROR(__xludf.DUMMYFUNCTION("""COMPUTED_VALUE"""),"R")</f>
        <v>R</v>
      </c>
      <c r="Y82" s="141"/>
      <c r="Z82" s="8" t="str">
        <f ca="1">IFERROR(__xludf.DUMMYFUNCTION("""COMPUTED_VALUE"""),"Ž")</f>
        <v>Ž</v>
      </c>
    </row>
    <row r="83" spans="1:26" ht="12.75" x14ac:dyDescent="0.2">
      <c r="A83" s="172">
        <v>41</v>
      </c>
      <c r="B83" s="127" t="s">
        <v>43</v>
      </c>
      <c r="C83" s="128" t="s">
        <v>44</v>
      </c>
      <c r="D83" s="129">
        <v>128</v>
      </c>
      <c r="E83" s="130">
        <v>51</v>
      </c>
      <c r="F83" s="130">
        <v>8</v>
      </c>
      <c r="G83" s="155">
        <v>179</v>
      </c>
      <c r="H83" s="129">
        <v>148</v>
      </c>
      <c r="I83" s="130">
        <v>36</v>
      </c>
      <c r="J83" s="130">
        <v>7</v>
      </c>
      <c r="K83" s="131">
        <v>184</v>
      </c>
      <c r="L83" s="130">
        <v>276</v>
      </c>
      <c r="M83" s="130">
        <v>87</v>
      </c>
      <c r="N83" s="130">
        <v>15</v>
      </c>
      <c r="O83" s="131">
        <v>363</v>
      </c>
      <c r="P83" s="132">
        <v>741</v>
      </c>
      <c r="Q83" s="173">
        <v>741</v>
      </c>
      <c r="R83" s="174">
        <v>201</v>
      </c>
      <c r="S83" s="174">
        <v>25</v>
      </c>
      <c r="T83" s="133">
        <v>201</v>
      </c>
      <c r="U83" s="133">
        <v>25</v>
      </c>
      <c r="V83" s="8" t="str">
        <f ca="1">IFERROR(__xludf.DUMMYFUNCTION("""COMPUTED_VALUE"""),"Š")</f>
        <v>Š</v>
      </c>
      <c r="W83" s="8" t="str">
        <f ca="1">IFERROR(__xludf.DUMMYFUNCTION("""COMPUTED_VALUE"""),"N")</f>
        <v>N</v>
      </c>
      <c r="X83" s="8" t="str">
        <f ca="1">IFERROR(__xludf.DUMMYFUNCTION("""COMPUTED_VALUE"""),"N")</f>
        <v>N</v>
      </c>
      <c r="Y83" s="8" t="str">
        <f ca="1">IFERROR(__xludf.DUMMYFUNCTION("""COMPUTED_VALUE"""),"S")</f>
        <v>S</v>
      </c>
      <c r="Z83" s="8" t="str">
        <f ca="1">IFERROR(__xludf.DUMMYFUNCTION("""COMPUTED_VALUE"""),"S")</f>
        <v>S</v>
      </c>
    </row>
    <row r="84" spans="1:26" ht="12.75" x14ac:dyDescent="0.2">
      <c r="A84" s="165"/>
      <c r="B84" s="134" t="s">
        <v>47</v>
      </c>
      <c r="C84" s="135" t="s">
        <v>44</v>
      </c>
      <c r="D84" s="136">
        <v>126</v>
      </c>
      <c r="E84" s="137">
        <v>52</v>
      </c>
      <c r="F84" s="137">
        <v>8</v>
      </c>
      <c r="G84" s="156">
        <v>178</v>
      </c>
      <c r="H84" s="137">
        <v>138</v>
      </c>
      <c r="I84" s="137">
        <v>62</v>
      </c>
      <c r="J84" s="137">
        <v>2</v>
      </c>
      <c r="K84" s="138">
        <v>200</v>
      </c>
      <c r="L84" s="137">
        <v>264</v>
      </c>
      <c r="M84" s="137">
        <v>114</v>
      </c>
      <c r="N84" s="137">
        <v>10</v>
      </c>
      <c r="O84" s="138">
        <v>378</v>
      </c>
      <c r="P84" s="139">
        <v>741</v>
      </c>
      <c r="Q84" s="165"/>
      <c r="R84" s="159"/>
      <c r="S84" s="159"/>
      <c r="T84" s="140">
        <v>201</v>
      </c>
      <c r="U84" s="140">
        <v>25</v>
      </c>
      <c r="V84" s="8" t="str">
        <f ca="1">IFERROR(__xludf.DUMMYFUNCTION("""COMPUTED_VALUE"""),"Š")</f>
        <v>Š</v>
      </c>
      <c r="W84" s="8"/>
      <c r="X84" s="8" t="str">
        <f ca="1">IFERROR(__xludf.DUMMYFUNCTION("""COMPUTED_VALUE"""),"N")</f>
        <v>N</v>
      </c>
      <c r="Y84" s="8"/>
      <c r="Z84" s="8" t="str">
        <f ca="1">IFERROR(__xludf.DUMMYFUNCTION("""COMPUTED_VALUE"""),"S")</f>
        <v>S</v>
      </c>
    </row>
    <row r="85" spans="1:26" ht="12.75" x14ac:dyDescent="0.2">
      <c r="A85" s="172">
        <v>42</v>
      </c>
      <c r="B85" s="127" t="s">
        <v>114</v>
      </c>
      <c r="C85" s="128" t="s">
        <v>115</v>
      </c>
      <c r="D85" s="129">
        <v>124</v>
      </c>
      <c r="E85" s="130">
        <v>44</v>
      </c>
      <c r="F85" s="130">
        <v>8</v>
      </c>
      <c r="G85" s="155">
        <v>168</v>
      </c>
      <c r="H85" s="129">
        <v>130</v>
      </c>
      <c r="I85" s="130">
        <v>71</v>
      </c>
      <c r="J85" s="130">
        <v>3</v>
      </c>
      <c r="K85" s="131">
        <v>201</v>
      </c>
      <c r="L85" s="130">
        <v>254</v>
      </c>
      <c r="M85" s="130">
        <v>115</v>
      </c>
      <c r="N85" s="130">
        <v>11</v>
      </c>
      <c r="O85" s="131">
        <v>369</v>
      </c>
      <c r="P85" s="132">
        <v>733</v>
      </c>
      <c r="Q85" s="173">
        <v>733</v>
      </c>
      <c r="R85" s="174">
        <v>222</v>
      </c>
      <c r="S85" s="174">
        <v>23</v>
      </c>
      <c r="T85" s="133">
        <v>222</v>
      </c>
      <c r="U85" s="133">
        <v>23</v>
      </c>
      <c r="V85" s="8" t="str">
        <f ca="1">IFERROR(__xludf.DUMMYFUNCTION("""COMPUTED_VALUE"""),"Š")</f>
        <v>Š</v>
      </c>
      <c r="W85" s="8" t="str">
        <f ca="1">IFERROR(__xludf.DUMMYFUNCTION("""COMPUTED_VALUE"""),"N")</f>
        <v>N</v>
      </c>
      <c r="X85" s="8" t="str">
        <f ca="1">IFERROR(__xludf.DUMMYFUNCTION("""COMPUTED_VALUE"""),"N")</f>
        <v>N</v>
      </c>
      <c r="Y85" s="8" t="str">
        <f ca="1">IFERROR(__xludf.DUMMYFUNCTION("""COMPUTED_VALUE"""),"M")</f>
        <v>M</v>
      </c>
      <c r="Z85" s="8" t="str">
        <f ca="1">IFERROR(__xludf.DUMMYFUNCTION("""COMPUTED_VALUE"""),"M")</f>
        <v>M</v>
      </c>
    </row>
    <row r="86" spans="1:26" ht="12.75" x14ac:dyDescent="0.2">
      <c r="A86" s="165"/>
      <c r="B86" s="134" t="s">
        <v>116</v>
      </c>
      <c r="C86" s="135" t="s">
        <v>115</v>
      </c>
      <c r="D86" s="136">
        <v>114</v>
      </c>
      <c r="E86" s="137">
        <v>45</v>
      </c>
      <c r="F86" s="137">
        <v>8</v>
      </c>
      <c r="G86" s="156">
        <v>159</v>
      </c>
      <c r="H86" s="137">
        <v>143</v>
      </c>
      <c r="I86" s="137">
        <v>62</v>
      </c>
      <c r="J86" s="137">
        <v>4</v>
      </c>
      <c r="K86" s="138">
        <v>205</v>
      </c>
      <c r="L86" s="137">
        <v>257</v>
      </c>
      <c r="M86" s="137">
        <v>107</v>
      </c>
      <c r="N86" s="137">
        <v>12</v>
      </c>
      <c r="O86" s="138">
        <v>364</v>
      </c>
      <c r="P86" s="139">
        <v>733</v>
      </c>
      <c r="Q86" s="165"/>
      <c r="R86" s="159"/>
      <c r="S86" s="159"/>
      <c r="T86" s="140">
        <v>222</v>
      </c>
      <c r="U86" s="140">
        <v>23</v>
      </c>
      <c r="V86" s="8" t="str">
        <f ca="1">IFERROR(__xludf.DUMMYFUNCTION("""COMPUTED_VALUE"""),"Š")</f>
        <v>Š</v>
      </c>
      <c r="W86" s="8"/>
      <c r="X86" s="8" t="str">
        <f ca="1">IFERROR(__xludf.DUMMYFUNCTION("""COMPUTED_VALUE"""),"N")</f>
        <v>N</v>
      </c>
      <c r="Y86" s="8"/>
      <c r="Z86" s="8" t="str">
        <f ca="1">IFERROR(__xludf.DUMMYFUNCTION("""COMPUTED_VALUE"""),"M")</f>
        <v>M</v>
      </c>
    </row>
    <row r="87" spans="1:26" ht="12.75" x14ac:dyDescent="0.2">
      <c r="A87" s="172">
        <v>43</v>
      </c>
      <c r="B87" s="127" t="s">
        <v>106</v>
      </c>
      <c r="C87" s="128" t="s">
        <v>107</v>
      </c>
      <c r="D87" s="129">
        <v>132</v>
      </c>
      <c r="E87" s="130">
        <v>50</v>
      </c>
      <c r="F87" s="130">
        <v>6</v>
      </c>
      <c r="G87" s="155">
        <v>182</v>
      </c>
      <c r="H87" s="129">
        <v>141</v>
      </c>
      <c r="I87" s="130">
        <v>62</v>
      </c>
      <c r="J87" s="130">
        <v>3</v>
      </c>
      <c r="K87" s="131">
        <v>203</v>
      </c>
      <c r="L87" s="130">
        <v>273</v>
      </c>
      <c r="M87" s="130">
        <v>112</v>
      </c>
      <c r="N87" s="130">
        <v>9</v>
      </c>
      <c r="O87" s="131">
        <v>385</v>
      </c>
      <c r="P87" s="132">
        <v>729</v>
      </c>
      <c r="Q87" s="173">
        <v>729</v>
      </c>
      <c r="R87" s="174">
        <v>218</v>
      </c>
      <c r="S87" s="174">
        <v>18</v>
      </c>
      <c r="T87" s="133">
        <v>218</v>
      </c>
      <c r="U87" s="133">
        <v>18</v>
      </c>
      <c r="V87" s="8" t="str">
        <f ca="1">IFERROR(__xludf.DUMMYFUNCTION("""COMPUTED_VALUE"""),"Š")</f>
        <v>Š</v>
      </c>
      <c r="W87" s="8" t="str">
        <f ca="1">IFERROR(__xludf.DUMMYFUNCTION("""COMPUTED_VALUE"""),"N")</f>
        <v>N</v>
      </c>
      <c r="X87" s="8" t="str">
        <f ca="1">IFERROR(__xludf.DUMMYFUNCTION("""COMPUTED_VALUE"""),"N")</f>
        <v>N</v>
      </c>
      <c r="Y87" s="8" t="str">
        <f ca="1">IFERROR(__xludf.DUMMYFUNCTION("""COMPUTED_VALUE"""),"M")</f>
        <v>M</v>
      </c>
      <c r="Z87" s="8" t="str">
        <f ca="1">IFERROR(__xludf.DUMMYFUNCTION("""COMPUTED_VALUE"""),"M")</f>
        <v>M</v>
      </c>
    </row>
    <row r="88" spans="1:26" ht="12.75" x14ac:dyDescent="0.2">
      <c r="A88" s="165"/>
      <c r="B88" s="134" t="s">
        <v>108</v>
      </c>
      <c r="C88" s="135" t="s">
        <v>107</v>
      </c>
      <c r="D88" s="136">
        <v>117</v>
      </c>
      <c r="E88" s="137">
        <v>52</v>
      </c>
      <c r="F88" s="137">
        <v>4</v>
      </c>
      <c r="G88" s="156">
        <v>169</v>
      </c>
      <c r="H88" s="137">
        <v>121</v>
      </c>
      <c r="I88" s="137">
        <v>54</v>
      </c>
      <c r="J88" s="137">
        <v>5</v>
      </c>
      <c r="K88" s="138">
        <v>175</v>
      </c>
      <c r="L88" s="137">
        <v>238</v>
      </c>
      <c r="M88" s="137">
        <v>106</v>
      </c>
      <c r="N88" s="137">
        <v>9</v>
      </c>
      <c r="O88" s="138">
        <v>344</v>
      </c>
      <c r="P88" s="139">
        <v>729</v>
      </c>
      <c r="Q88" s="165"/>
      <c r="R88" s="159"/>
      <c r="S88" s="159"/>
      <c r="T88" s="140">
        <v>218</v>
      </c>
      <c r="U88" s="140">
        <v>18</v>
      </c>
      <c r="V88" s="8" t="str">
        <f ca="1">IFERROR(__xludf.DUMMYFUNCTION("""COMPUTED_VALUE"""),"Š")</f>
        <v>Š</v>
      </c>
      <c r="W88" s="8"/>
      <c r="X88" s="8" t="str">
        <f ca="1">IFERROR(__xludf.DUMMYFUNCTION("""COMPUTED_VALUE"""),"N")</f>
        <v>N</v>
      </c>
      <c r="Y88" s="8"/>
      <c r="Z88" s="8" t="str">
        <f ca="1">IFERROR(__xludf.DUMMYFUNCTION("""COMPUTED_VALUE"""),"M")</f>
        <v>M</v>
      </c>
    </row>
    <row r="89" spans="1:26" ht="12.75" x14ac:dyDescent="0.2">
      <c r="A89" s="172">
        <v>44</v>
      </c>
      <c r="B89" s="127" t="s">
        <v>146</v>
      </c>
      <c r="C89" s="128" t="s">
        <v>49</v>
      </c>
      <c r="D89" s="129">
        <v>113</v>
      </c>
      <c r="E89" s="130">
        <v>35</v>
      </c>
      <c r="F89" s="130">
        <v>15</v>
      </c>
      <c r="G89" s="155">
        <v>148</v>
      </c>
      <c r="H89" s="129">
        <v>114</v>
      </c>
      <c r="I89" s="130">
        <v>44</v>
      </c>
      <c r="J89" s="130">
        <v>11</v>
      </c>
      <c r="K89" s="131">
        <v>158</v>
      </c>
      <c r="L89" s="130">
        <v>227</v>
      </c>
      <c r="M89" s="130">
        <v>79</v>
      </c>
      <c r="N89" s="130">
        <v>26</v>
      </c>
      <c r="O89" s="131">
        <v>306</v>
      </c>
      <c r="P89" s="132">
        <v>720</v>
      </c>
      <c r="Q89" s="173">
        <v>720</v>
      </c>
      <c r="R89" s="174">
        <v>202</v>
      </c>
      <c r="S89" s="174">
        <v>30</v>
      </c>
      <c r="T89" s="133">
        <v>202</v>
      </c>
      <c r="U89" s="133">
        <v>30</v>
      </c>
      <c r="V89" s="8" t="str">
        <f ca="1">IFERROR(__xludf.DUMMYFUNCTION("""COMPUTED_VALUE"""),"Š")</f>
        <v>Š</v>
      </c>
      <c r="W89" s="8" t="str">
        <f ca="1">IFERROR(__xludf.DUMMYFUNCTION("""COMPUTED_VALUE"""),"R")</f>
        <v>R</v>
      </c>
      <c r="X89" s="8" t="str">
        <f ca="1">IFERROR(__xludf.DUMMYFUNCTION("""COMPUTED_VALUE"""),"R")</f>
        <v>R</v>
      </c>
      <c r="Y89" s="8" t="str">
        <f ca="1">IFERROR(__xludf.DUMMYFUNCTION("""COMPUTED_VALUE"""),"S")</f>
        <v>S</v>
      </c>
      <c r="Z89" s="8" t="str">
        <f ca="1">IFERROR(__xludf.DUMMYFUNCTION("""COMPUTED_VALUE"""),"S")</f>
        <v>S</v>
      </c>
    </row>
    <row r="90" spans="1:26" ht="12.75" x14ac:dyDescent="0.2">
      <c r="A90" s="165"/>
      <c r="B90" s="134" t="s">
        <v>81</v>
      </c>
      <c r="C90" s="135" t="s">
        <v>49</v>
      </c>
      <c r="D90" s="136">
        <v>155</v>
      </c>
      <c r="E90" s="137">
        <v>60</v>
      </c>
      <c r="F90" s="137">
        <v>2</v>
      </c>
      <c r="G90" s="156">
        <v>215</v>
      </c>
      <c r="H90" s="137">
        <v>136</v>
      </c>
      <c r="I90" s="137">
        <v>63</v>
      </c>
      <c r="J90" s="137">
        <v>2</v>
      </c>
      <c r="K90" s="138">
        <v>199</v>
      </c>
      <c r="L90" s="137">
        <v>291</v>
      </c>
      <c r="M90" s="137">
        <v>123</v>
      </c>
      <c r="N90" s="137">
        <v>4</v>
      </c>
      <c r="O90" s="138">
        <v>414</v>
      </c>
      <c r="P90" s="139">
        <v>720</v>
      </c>
      <c r="Q90" s="165"/>
      <c r="R90" s="159"/>
      <c r="S90" s="159"/>
      <c r="T90" s="140">
        <v>202</v>
      </c>
      <c r="U90" s="140">
        <v>30</v>
      </c>
      <c r="V90" s="8" t="str">
        <f ca="1">IFERROR(__xludf.DUMMYFUNCTION("""COMPUTED_VALUE"""),"Š")</f>
        <v>Š</v>
      </c>
      <c r="W90" s="8"/>
      <c r="X90" s="8" t="str">
        <f ca="1">IFERROR(__xludf.DUMMYFUNCTION("""COMPUTED_VALUE"""),"R")</f>
        <v>R</v>
      </c>
      <c r="Y90" s="8"/>
      <c r="Z90" s="8" t="str">
        <f ca="1">IFERROR(__xludf.DUMMYFUNCTION("""COMPUTED_VALUE"""),"S")</f>
        <v>S</v>
      </c>
    </row>
    <row r="91" spans="1:26" ht="12.75" x14ac:dyDescent="0.2">
      <c r="A91" s="172">
        <v>45</v>
      </c>
      <c r="B91" s="127" t="s">
        <v>77</v>
      </c>
      <c r="C91" s="128" t="s">
        <v>75</v>
      </c>
      <c r="D91" s="129">
        <v>127</v>
      </c>
      <c r="E91" s="130">
        <v>43</v>
      </c>
      <c r="F91" s="130">
        <v>12</v>
      </c>
      <c r="G91" s="155">
        <v>170</v>
      </c>
      <c r="H91" s="129">
        <v>117</v>
      </c>
      <c r="I91" s="130">
        <v>70</v>
      </c>
      <c r="J91" s="130">
        <v>4</v>
      </c>
      <c r="K91" s="131">
        <v>187</v>
      </c>
      <c r="L91" s="130">
        <v>244</v>
      </c>
      <c r="M91" s="130">
        <v>113</v>
      </c>
      <c r="N91" s="130">
        <v>16</v>
      </c>
      <c r="O91" s="131">
        <v>357</v>
      </c>
      <c r="P91" s="132">
        <v>719</v>
      </c>
      <c r="Q91" s="173">
        <v>719</v>
      </c>
      <c r="R91" s="174">
        <v>226</v>
      </c>
      <c r="S91" s="174">
        <v>32</v>
      </c>
      <c r="T91" s="133">
        <v>226</v>
      </c>
      <c r="U91" s="133">
        <v>32</v>
      </c>
      <c r="V91" s="8" t="str">
        <f ca="1">IFERROR(__xludf.DUMMYFUNCTION("""COMPUTED_VALUE"""),"Š")</f>
        <v>Š</v>
      </c>
      <c r="W91" s="8" t="str">
        <f ca="1">IFERROR(__xludf.DUMMYFUNCTION("""COMPUTED_VALUE"""),"N")</f>
        <v>N</v>
      </c>
      <c r="X91" s="8" t="str">
        <f ca="1">IFERROR(__xludf.DUMMYFUNCTION("""COMPUTED_VALUE"""),"N")</f>
        <v>N</v>
      </c>
      <c r="Y91" s="8" t="str">
        <f ca="1">IFERROR(__xludf.DUMMYFUNCTION("""COMPUTED_VALUE"""),"M")</f>
        <v>M</v>
      </c>
      <c r="Z91" s="8" t="str">
        <f ca="1">IFERROR(__xludf.DUMMYFUNCTION("""COMPUTED_VALUE"""),"M")</f>
        <v>M</v>
      </c>
    </row>
    <row r="92" spans="1:26" ht="12.75" x14ac:dyDescent="0.2">
      <c r="A92" s="165"/>
      <c r="B92" s="134" t="s">
        <v>78</v>
      </c>
      <c r="C92" s="135" t="s">
        <v>75</v>
      </c>
      <c r="D92" s="136">
        <v>130</v>
      </c>
      <c r="E92" s="137">
        <v>69</v>
      </c>
      <c r="F92" s="137">
        <v>8</v>
      </c>
      <c r="G92" s="156">
        <v>199</v>
      </c>
      <c r="H92" s="137">
        <v>119</v>
      </c>
      <c r="I92" s="137">
        <v>44</v>
      </c>
      <c r="J92" s="137">
        <v>8</v>
      </c>
      <c r="K92" s="138">
        <v>163</v>
      </c>
      <c r="L92" s="137">
        <v>249</v>
      </c>
      <c r="M92" s="137">
        <v>113</v>
      </c>
      <c r="N92" s="137">
        <v>16</v>
      </c>
      <c r="O92" s="138">
        <v>362</v>
      </c>
      <c r="P92" s="139">
        <v>719</v>
      </c>
      <c r="Q92" s="165"/>
      <c r="R92" s="159"/>
      <c r="S92" s="159"/>
      <c r="T92" s="140">
        <v>226</v>
      </c>
      <c r="U92" s="140">
        <v>32</v>
      </c>
      <c r="V92" s="8" t="str">
        <f ca="1">IFERROR(__xludf.DUMMYFUNCTION("""COMPUTED_VALUE"""),"Š")</f>
        <v>Š</v>
      </c>
      <c r="W92" s="8"/>
      <c r="X92" s="8" t="str">
        <f ca="1">IFERROR(__xludf.DUMMYFUNCTION("""COMPUTED_VALUE"""),"N")</f>
        <v>N</v>
      </c>
      <c r="Y92" s="8"/>
      <c r="Z92" s="8" t="str">
        <f ca="1">IFERROR(__xludf.DUMMYFUNCTION("""COMPUTED_VALUE"""),"M")</f>
        <v>M</v>
      </c>
    </row>
    <row r="93" spans="1:26" ht="12.75" x14ac:dyDescent="0.2">
      <c r="A93" s="172">
        <v>46</v>
      </c>
      <c r="B93" s="127" t="s">
        <v>120</v>
      </c>
      <c r="C93" s="128" t="s">
        <v>118</v>
      </c>
      <c r="D93" s="129">
        <v>126</v>
      </c>
      <c r="E93" s="130">
        <v>43</v>
      </c>
      <c r="F93" s="130">
        <v>10</v>
      </c>
      <c r="G93" s="155">
        <v>169</v>
      </c>
      <c r="H93" s="129">
        <v>120</v>
      </c>
      <c r="I93" s="130">
        <v>60</v>
      </c>
      <c r="J93" s="130">
        <v>6</v>
      </c>
      <c r="K93" s="131">
        <v>180</v>
      </c>
      <c r="L93" s="130">
        <v>246</v>
      </c>
      <c r="M93" s="130">
        <v>103</v>
      </c>
      <c r="N93" s="130">
        <v>16</v>
      </c>
      <c r="O93" s="131">
        <v>349</v>
      </c>
      <c r="P93" s="132">
        <v>719</v>
      </c>
      <c r="Q93" s="173">
        <v>719</v>
      </c>
      <c r="R93" s="174">
        <v>214</v>
      </c>
      <c r="S93" s="174">
        <v>28</v>
      </c>
      <c r="T93" s="133">
        <v>214</v>
      </c>
      <c r="U93" s="133">
        <v>28</v>
      </c>
      <c r="V93" s="8" t="str">
        <f ca="1">IFERROR(__xludf.DUMMYFUNCTION("""COMPUTED_VALUE"""),"Š")</f>
        <v>Š</v>
      </c>
      <c r="W93" s="8" t="str">
        <f ca="1">IFERROR(__xludf.DUMMYFUNCTION("""COMPUTED_VALUE"""),"R")</f>
        <v>R</v>
      </c>
      <c r="X93" s="8" t="str">
        <f ca="1">IFERROR(__xludf.DUMMYFUNCTION("""COMPUTED_VALUE"""),"R")</f>
        <v>R</v>
      </c>
      <c r="Y93" s="8" t="str">
        <f ca="1">IFERROR(__xludf.DUMMYFUNCTION("""COMPUTED_VALUE"""),"M")</f>
        <v>M</v>
      </c>
      <c r="Z93" s="8" t="str">
        <f ca="1">IFERROR(__xludf.DUMMYFUNCTION("""COMPUTED_VALUE"""),"M")</f>
        <v>M</v>
      </c>
    </row>
    <row r="94" spans="1:26" ht="12.75" x14ac:dyDescent="0.2">
      <c r="A94" s="165"/>
      <c r="B94" s="134" t="s">
        <v>121</v>
      </c>
      <c r="C94" s="135" t="s">
        <v>118</v>
      </c>
      <c r="D94" s="136">
        <v>130</v>
      </c>
      <c r="E94" s="137">
        <v>44</v>
      </c>
      <c r="F94" s="137">
        <v>7</v>
      </c>
      <c r="G94" s="156">
        <v>174</v>
      </c>
      <c r="H94" s="137">
        <v>129</v>
      </c>
      <c r="I94" s="137">
        <v>67</v>
      </c>
      <c r="J94" s="137">
        <v>5</v>
      </c>
      <c r="K94" s="138">
        <v>196</v>
      </c>
      <c r="L94" s="137">
        <v>259</v>
      </c>
      <c r="M94" s="137">
        <v>111</v>
      </c>
      <c r="N94" s="137">
        <v>12</v>
      </c>
      <c r="O94" s="138">
        <v>370</v>
      </c>
      <c r="P94" s="139">
        <v>719</v>
      </c>
      <c r="Q94" s="165"/>
      <c r="R94" s="159"/>
      <c r="S94" s="159"/>
      <c r="T94" s="140">
        <v>214</v>
      </c>
      <c r="U94" s="140">
        <v>28</v>
      </c>
      <c r="V94" s="8" t="str">
        <f ca="1">IFERROR(__xludf.DUMMYFUNCTION("""COMPUTED_VALUE"""),"Š")</f>
        <v>Š</v>
      </c>
      <c r="W94" s="8"/>
      <c r="X94" s="8" t="str">
        <f ca="1">IFERROR(__xludf.DUMMYFUNCTION("""COMPUTED_VALUE"""),"R")</f>
        <v>R</v>
      </c>
      <c r="Y94" s="8"/>
      <c r="Z94" s="8" t="str">
        <f ca="1">IFERROR(__xludf.DUMMYFUNCTION("""COMPUTED_VALUE"""),"M")</f>
        <v>M</v>
      </c>
    </row>
    <row r="95" spans="1:26" ht="12.75" x14ac:dyDescent="0.2">
      <c r="A95" s="172">
        <v>47</v>
      </c>
      <c r="B95" s="127" t="s">
        <v>131</v>
      </c>
      <c r="C95" s="128" t="s">
        <v>132</v>
      </c>
      <c r="D95" s="129">
        <v>142</v>
      </c>
      <c r="E95" s="130">
        <v>32</v>
      </c>
      <c r="F95" s="130">
        <v>8</v>
      </c>
      <c r="G95" s="155">
        <v>174</v>
      </c>
      <c r="H95" s="129">
        <v>137</v>
      </c>
      <c r="I95" s="130">
        <v>61</v>
      </c>
      <c r="J95" s="130">
        <v>4</v>
      </c>
      <c r="K95" s="131">
        <v>198</v>
      </c>
      <c r="L95" s="130">
        <v>279</v>
      </c>
      <c r="M95" s="130">
        <v>93</v>
      </c>
      <c r="N95" s="130">
        <v>12</v>
      </c>
      <c r="O95" s="131">
        <v>372</v>
      </c>
      <c r="P95" s="132">
        <v>717</v>
      </c>
      <c r="Q95" s="173">
        <v>717</v>
      </c>
      <c r="R95" s="174">
        <v>177</v>
      </c>
      <c r="S95" s="174">
        <v>33</v>
      </c>
      <c r="T95" s="133">
        <v>177</v>
      </c>
      <c r="U95" s="133">
        <v>33</v>
      </c>
      <c r="V95" s="8" t="str">
        <f ca="1">IFERROR(__xludf.DUMMYFUNCTION("""COMPUTED_VALUE"""),"Š")</f>
        <v>Š</v>
      </c>
      <c r="W95" s="8" t="str">
        <f ca="1">IFERROR(__xludf.DUMMYFUNCTION("""COMPUTED_VALUE"""),"N")</f>
        <v>N</v>
      </c>
      <c r="X95" s="8" t="str">
        <f ca="1">IFERROR(__xludf.DUMMYFUNCTION("""COMPUTED_VALUE"""),"N")</f>
        <v>N</v>
      </c>
      <c r="Y95" s="8" t="str">
        <f ca="1">IFERROR(__xludf.DUMMYFUNCTION("""COMPUTED_VALUE"""),"M")</f>
        <v>M</v>
      </c>
      <c r="Z95" s="8" t="str">
        <f ca="1">IFERROR(__xludf.DUMMYFUNCTION("""COMPUTED_VALUE"""),"M")</f>
        <v>M</v>
      </c>
    </row>
    <row r="96" spans="1:26" ht="12.75" x14ac:dyDescent="0.2">
      <c r="A96" s="165"/>
      <c r="B96" s="134" t="s">
        <v>133</v>
      </c>
      <c r="C96" s="135" t="s">
        <v>132</v>
      </c>
      <c r="D96" s="136">
        <v>129</v>
      </c>
      <c r="E96" s="137">
        <v>33</v>
      </c>
      <c r="F96" s="137">
        <v>12</v>
      </c>
      <c r="G96" s="156">
        <v>162</v>
      </c>
      <c r="H96" s="137">
        <v>132</v>
      </c>
      <c r="I96" s="137">
        <v>51</v>
      </c>
      <c r="J96" s="137">
        <v>9</v>
      </c>
      <c r="K96" s="138">
        <v>183</v>
      </c>
      <c r="L96" s="137">
        <v>261</v>
      </c>
      <c r="M96" s="137">
        <v>84</v>
      </c>
      <c r="N96" s="137">
        <v>21</v>
      </c>
      <c r="O96" s="138">
        <v>345</v>
      </c>
      <c r="P96" s="139">
        <v>717</v>
      </c>
      <c r="Q96" s="165"/>
      <c r="R96" s="159"/>
      <c r="S96" s="159"/>
      <c r="T96" s="140">
        <v>177</v>
      </c>
      <c r="U96" s="140">
        <v>33</v>
      </c>
      <c r="V96" s="8" t="str">
        <f ca="1">IFERROR(__xludf.DUMMYFUNCTION("""COMPUTED_VALUE"""),"Š")</f>
        <v>Š</v>
      </c>
      <c r="W96" s="8"/>
      <c r="X96" s="8" t="str">
        <f ca="1">IFERROR(__xludf.DUMMYFUNCTION("""COMPUTED_VALUE"""),"N")</f>
        <v>N</v>
      </c>
      <c r="Y96" s="8"/>
      <c r="Z96" s="8" t="str">
        <f ca="1">IFERROR(__xludf.DUMMYFUNCTION("""COMPUTED_VALUE"""),"M")</f>
        <v>M</v>
      </c>
    </row>
    <row r="97" spans="1:26" ht="12.75" x14ac:dyDescent="0.2">
      <c r="A97" s="172">
        <v>48</v>
      </c>
      <c r="B97" s="127" t="s">
        <v>74</v>
      </c>
      <c r="C97" s="128" t="s">
        <v>75</v>
      </c>
      <c r="D97" s="129">
        <v>139</v>
      </c>
      <c r="E97" s="130">
        <v>44</v>
      </c>
      <c r="F97" s="130">
        <v>6</v>
      </c>
      <c r="G97" s="155">
        <v>183</v>
      </c>
      <c r="H97" s="129">
        <v>135</v>
      </c>
      <c r="I97" s="130">
        <v>53</v>
      </c>
      <c r="J97" s="130">
        <v>3</v>
      </c>
      <c r="K97" s="131">
        <v>188</v>
      </c>
      <c r="L97" s="130">
        <v>274</v>
      </c>
      <c r="M97" s="130">
        <v>97</v>
      </c>
      <c r="N97" s="130">
        <v>9</v>
      </c>
      <c r="O97" s="131">
        <v>371</v>
      </c>
      <c r="P97" s="132">
        <v>710</v>
      </c>
      <c r="Q97" s="173">
        <v>710</v>
      </c>
      <c r="R97" s="174">
        <v>195</v>
      </c>
      <c r="S97" s="174">
        <v>27</v>
      </c>
      <c r="T97" s="133">
        <v>195</v>
      </c>
      <c r="U97" s="133">
        <v>27</v>
      </c>
      <c r="V97" s="8" t="str">
        <f ca="1">IFERROR(__xludf.DUMMYFUNCTION("""COMPUTED_VALUE"""),"Š")</f>
        <v>Š</v>
      </c>
      <c r="W97" s="8" t="str">
        <f ca="1">IFERROR(__xludf.DUMMYFUNCTION("""COMPUTED_VALUE"""),"R")</f>
        <v>R</v>
      </c>
      <c r="X97" s="8" t="str">
        <f ca="1">IFERROR(__xludf.DUMMYFUNCTION("""COMPUTED_VALUE"""),"R")</f>
        <v>R</v>
      </c>
      <c r="Y97" s="8" t="str">
        <f ca="1">IFERROR(__xludf.DUMMYFUNCTION("""COMPUTED_VALUE"""),"M")</f>
        <v>M</v>
      </c>
      <c r="Z97" s="8" t="str">
        <f ca="1">IFERROR(__xludf.DUMMYFUNCTION("""COMPUTED_VALUE"""),"M")</f>
        <v>M</v>
      </c>
    </row>
    <row r="98" spans="1:26" ht="12.75" x14ac:dyDescent="0.2">
      <c r="A98" s="165"/>
      <c r="B98" s="134" t="s">
        <v>76</v>
      </c>
      <c r="C98" s="135" t="s">
        <v>75</v>
      </c>
      <c r="D98" s="136">
        <v>111</v>
      </c>
      <c r="E98" s="137">
        <v>27</v>
      </c>
      <c r="F98" s="137">
        <v>15</v>
      </c>
      <c r="G98" s="156">
        <v>138</v>
      </c>
      <c r="H98" s="137">
        <v>130</v>
      </c>
      <c r="I98" s="137">
        <v>71</v>
      </c>
      <c r="J98" s="137">
        <v>3</v>
      </c>
      <c r="K98" s="138">
        <v>201</v>
      </c>
      <c r="L98" s="137">
        <v>241</v>
      </c>
      <c r="M98" s="137">
        <v>98</v>
      </c>
      <c r="N98" s="137">
        <v>18</v>
      </c>
      <c r="O98" s="138">
        <v>339</v>
      </c>
      <c r="P98" s="139">
        <v>710</v>
      </c>
      <c r="Q98" s="165"/>
      <c r="R98" s="159"/>
      <c r="S98" s="159"/>
      <c r="T98" s="140">
        <v>195</v>
      </c>
      <c r="U98" s="140">
        <v>27</v>
      </c>
      <c r="V98" s="8" t="str">
        <f ca="1">IFERROR(__xludf.DUMMYFUNCTION("""COMPUTED_VALUE"""),"Š")</f>
        <v>Š</v>
      </c>
      <c r="W98" s="8"/>
      <c r="X98" s="8" t="str">
        <f ca="1">IFERROR(__xludf.DUMMYFUNCTION("""COMPUTED_VALUE"""),"R")</f>
        <v>R</v>
      </c>
      <c r="Y98" s="8"/>
      <c r="Z98" s="8" t="str">
        <f ca="1">IFERROR(__xludf.DUMMYFUNCTION("""COMPUTED_VALUE"""),"M")</f>
        <v>M</v>
      </c>
    </row>
    <row r="99" spans="1:26" ht="12.75" x14ac:dyDescent="0.2">
      <c r="A99" s="172">
        <v>49</v>
      </c>
      <c r="B99" s="127" t="s">
        <v>66</v>
      </c>
      <c r="C99" s="128" t="s">
        <v>49</v>
      </c>
      <c r="D99" s="129">
        <v>122</v>
      </c>
      <c r="E99" s="130">
        <v>43</v>
      </c>
      <c r="F99" s="130">
        <v>8</v>
      </c>
      <c r="G99" s="155">
        <v>165</v>
      </c>
      <c r="H99" s="129">
        <v>116</v>
      </c>
      <c r="I99" s="130">
        <v>44</v>
      </c>
      <c r="J99" s="130">
        <v>8</v>
      </c>
      <c r="K99" s="131">
        <v>160</v>
      </c>
      <c r="L99" s="130">
        <v>238</v>
      </c>
      <c r="M99" s="130">
        <v>87</v>
      </c>
      <c r="N99" s="130">
        <v>16</v>
      </c>
      <c r="O99" s="131">
        <v>325</v>
      </c>
      <c r="P99" s="132">
        <v>708</v>
      </c>
      <c r="Q99" s="173">
        <v>708</v>
      </c>
      <c r="R99" s="174">
        <v>180</v>
      </c>
      <c r="S99" s="174">
        <v>31</v>
      </c>
      <c r="T99" s="133">
        <v>180</v>
      </c>
      <c r="U99" s="133">
        <v>31</v>
      </c>
      <c r="V99" s="8" t="str">
        <f ca="1">IFERROR(__xludf.DUMMYFUNCTION("""COMPUTED_VALUE"""),"Š")</f>
        <v>Š</v>
      </c>
      <c r="W99" s="8" t="str">
        <f ca="1">IFERROR(__xludf.DUMMYFUNCTION("""COMPUTED_VALUE"""),"R")</f>
        <v>R</v>
      </c>
      <c r="X99" s="8" t="str">
        <f ca="1">IFERROR(__xludf.DUMMYFUNCTION("""COMPUTED_VALUE"""),"R")</f>
        <v>R</v>
      </c>
      <c r="Y99" s="8" t="str">
        <f ca="1">IFERROR(__xludf.DUMMYFUNCTION("""COMPUTED_VALUE"""),"M")</f>
        <v>M</v>
      </c>
      <c r="Z99" s="8" t="str">
        <f ca="1">IFERROR(__xludf.DUMMYFUNCTION("""COMPUTED_VALUE"""),"M")</f>
        <v>M</v>
      </c>
    </row>
    <row r="100" spans="1:26" ht="12.75" x14ac:dyDescent="0.2">
      <c r="A100" s="165"/>
      <c r="B100" s="134" t="s">
        <v>67</v>
      </c>
      <c r="C100" s="135" t="s">
        <v>49</v>
      </c>
      <c r="D100" s="136">
        <v>145</v>
      </c>
      <c r="E100" s="137">
        <v>48</v>
      </c>
      <c r="F100" s="137">
        <v>7</v>
      </c>
      <c r="G100" s="156">
        <v>193</v>
      </c>
      <c r="H100" s="137">
        <v>145</v>
      </c>
      <c r="I100" s="137">
        <v>45</v>
      </c>
      <c r="J100" s="137">
        <v>8</v>
      </c>
      <c r="K100" s="138">
        <v>190</v>
      </c>
      <c r="L100" s="137">
        <v>290</v>
      </c>
      <c r="M100" s="137">
        <v>93</v>
      </c>
      <c r="N100" s="137">
        <v>15</v>
      </c>
      <c r="O100" s="138">
        <v>383</v>
      </c>
      <c r="P100" s="139">
        <v>708</v>
      </c>
      <c r="Q100" s="165"/>
      <c r="R100" s="159"/>
      <c r="S100" s="159"/>
      <c r="T100" s="140">
        <v>180</v>
      </c>
      <c r="U100" s="140">
        <v>31</v>
      </c>
      <c r="V100" s="8" t="str">
        <f ca="1">IFERROR(__xludf.DUMMYFUNCTION("""COMPUTED_VALUE"""),"Š")</f>
        <v>Š</v>
      </c>
      <c r="W100" s="8"/>
      <c r="X100" s="8" t="str">
        <f ca="1">IFERROR(__xludf.DUMMYFUNCTION("""COMPUTED_VALUE"""),"R")</f>
        <v>R</v>
      </c>
      <c r="Y100" s="8"/>
      <c r="Z100" s="8" t="str">
        <f ca="1">IFERROR(__xludf.DUMMYFUNCTION("""COMPUTED_VALUE"""),"M")</f>
        <v>M</v>
      </c>
    </row>
    <row r="101" spans="1:26" ht="12.75" x14ac:dyDescent="0.2">
      <c r="A101" s="172">
        <v>50</v>
      </c>
      <c r="B101" s="127" t="s">
        <v>111</v>
      </c>
      <c r="C101" s="128" t="s">
        <v>112</v>
      </c>
      <c r="D101" s="129">
        <v>132</v>
      </c>
      <c r="E101" s="130">
        <v>71</v>
      </c>
      <c r="F101" s="130">
        <v>2</v>
      </c>
      <c r="G101" s="155">
        <v>203</v>
      </c>
      <c r="H101" s="129">
        <v>144</v>
      </c>
      <c r="I101" s="130">
        <v>66</v>
      </c>
      <c r="J101" s="130">
        <v>4</v>
      </c>
      <c r="K101" s="131">
        <v>210</v>
      </c>
      <c r="L101" s="130">
        <v>276</v>
      </c>
      <c r="M101" s="130">
        <v>137</v>
      </c>
      <c r="N101" s="130">
        <v>6</v>
      </c>
      <c r="O101" s="131">
        <v>413</v>
      </c>
      <c r="P101" s="132">
        <v>703</v>
      </c>
      <c r="Q101" s="173">
        <v>703</v>
      </c>
      <c r="R101" s="174">
        <v>212</v>
      </c>
      <c r="S101" s="174">
        <v>37</v>
      </c>
      <c r="T101" s="133">
        <v>212</v>
      </c>
      <c r="U101" s="133">
        <v>37</v>
      </c>
      <c r="V101" s="8" t="str">
        <f ca="1">IFERROR(__xludf.DUMMYFUNCTION("""COMPUTED_VALUE"""),"Š")</f>
        <v>Š</v>
      </c>
      <c r="W101" s="8" t="str">
        <f ca="1">IFERROR(__xludf.DUMMYFUNCTION("""COMPUTED_VALUE"""),"R")</f>
        <v>R</v>
      </c>
      <c r="X101" s="8" t="str">
        <f ca="1">IFERROR(__xludf.DUMMYFUNCTION("""COMPUTED_VALUE"""),"R")</f>
        <v>R</v>
      </c>
      <c r="Y101" s="8" t="str">
        <f ca="1">IFERROR(__xludf.DUMMYFUNCTION("""COMPUTED_VALUE"""),"S")</f>
        <v>S</v>
      </c>
      <c r="Z101" s="8" t="str">
        <f ca="1">IFERROR(__xludf.DUMMYFUNCTION("""COMPUTED_VALUE"""),"S")</f>
        <v>S</v>
      </c>
    </row>
    <row r="102" spans="1:26" ht="12.75" x14ac:dyDescent="0.2">
      <c r="A102" s="165"/>
      <c r="B102" s="134" t="s">
        <v>113</v>
      </c>
      <c r="C102" s="135" t="s">
        <v>112</v>
      </c>
      <c r="D102" s="136">
        <v>109</v>
      </c>
      <c r="E102" s="137">
        <v>53</v>
      </c>
      <c r="F102" s="137">
        <v>9</v>
      </c>
      <c r="G102" s="156">
        <v>162</v>
      </c>
      <c r="H102" s="137">
        <v>106</v>
      </c>
      <c r="I102" s="137">
        <v>22</v>
      </c>
      <c r="J102" s="137">
        <v>22</v>
      </c>
      <c r="K102" s="138">
        <v>128</v>
      </c>
      <c r="L102" s="137">
        <v>215</v>
      </c>
      <c r="M102" s="137">
        <v>75</v>
      </c>
      <c r="N102" s="137">
        <v>31</v>
      </c>
      <c r="O102" s="138">
        <v>290</v>
      </c>
      <c r="P102" s="139">
        <v>703</v>
      </c>
      <c r="Q102" s="165"/>
      <c r="R102" s="159"/>
      <c r="S102" s="159"/>
      <c r="T102" s="140">
        <v>212</v>
      </c>
      <c r="U102" s="140">
        <v>37</v>
      </c>
      <c r="V102" s="8" t="str">
        <f ca="1">IFERROR(__xludf.DUMMYFUNCTION("""COMPUTED_VALUE"""),"Š")</f>
        <v>Š</v>
      </c>
      <c r="W102" s="8"/>
      <c r="X102" s="8" t="str">
        <f ca="1">IFERROR(__xludf.DUMMYFUNCTION("""COMPUTED_VALUE"""),"R")</f>
        <v>R</v>
      </c>
      <c r="Y102" s="8"/>
      <c r="Z102" s="8" t="str">
        <f ca="1">IFERROR(__xludf.DUMMYFUNCTION("""COMPUTED_VALUE"""),"S")</f>
        <v>S</v>
      </c>
    </row>
    <row r="103" spans="1:26" ht="12.75" x14ac:dyDescent="0.2">
      <c r="A103" s="172">
        <v>51</v>
      </c>
      <c r="B103" s="127" t="s">
        <v>109</v>
      </c>
      <c r="C103" s="128" t="s">
        <v>103</v>
      </c>
      <c r="D103" s="129">
        <v>125</v>
      </c>
      <c r="E103" s="130">
        <v>44</v>
      </c>
      <c r="F103" s="130">
        <v>10</v>
      </c>
      <c r="G103" s="155">
        <v>169</v>
      </c>
      <c r="H103" s="129">
        <v>139</v>
      </c>
      <c r="I103" s="130">
        <v>34</v>
      </c>
      <c r="J103" s="130">
        <v>5</v>
      </c>
      <c r="K103" s="131">
        <v>173</v>
      </c>
      <c r="L103" s="130">
        <v>264</v>
      </c>
      <c r="M103" s="130">
        <v>78</v>
      </c>
      <c r="N103" s="130">
        <v>15</v>
      </c>
      <c r="O103" s="131">
        <v>342</v>
      </c>
      <c r="P103" s="132">
        <v>693</v>
      </c>
      <c r="Q103" s="173">
        <v>693</v>
      </c>
      <c r="R103" s="174">
        <v>166</v>
      </c>
      <c r="S103" s="174">
        <v>32</v>
      </c>
      <c r="T103" s="133">
        <v>166</v>
      </c>
      <c r="U103" s="133">
        <v>32</v>
      </c>
      <c r="V103" s="8" t="str">
        <f ca="1">IFERROR(__xludf.DUMMYFUNCTION("""COMPUTED_VALUE"""),"Š")</f>
        <v>Š</v>
      </c>
      <c r="W103" s="8" t="str">
        <f ca="1">IFERROR(__xludf.DUMMYFUNCTION("""COMPUTED_VALUE"""),"N")</f>
        <v>N</v>
      </c>
      <c r="X103" s="8" t="str">
        <f ca="1">IFERROR(__xludf.DUMMYFUNCTION("""COMPUTED_VALUE"""),"N")</f>
        <v>N</v>
      </c>
      <c r="Y103" s="8" t="str">
        <f ca="1">IFERROR(__xludf.DUMMYFUNCTION("""COMPUTED_VALUE"""),"M")</f>
        <v>M</v>
      </c>
      <c r="Z103" s="8" t="str">
        <f ca="1">IFERROR(__xludf.DUMMYFUNCTION("""COMPUTED_VALUE"""),"M")</f>
        <v>M</v>
      </c>
    </row>
    <row r="104" spans="1:26" ht="12.75" x14ac:dyDescent="0.2">
      <c r="A104" s="165"/>
      <c r="B104" s="134" t="s">
        <v>110</v>
      </c>
      <c r="C104" s="135" t="s">
        <v>103</v>
      </c>
      <c r="D104" s="136">
        <v>126</v>
      </c>
      <c r="E104" s="137">
        <v>44</v>
      </c>
      <c r="F104" s="137">
        <v>8</v>
      </c>
      <c r="G104" s="156">
        <v>170</v>
      </c>
      <c r="H104" s="137">
        <v>137</v>
      </c>
      <c r="I104" s="137">
        <v>44</v>
      </c>
      <c r="J104" s="137">
        <v>9</v>
      </c>
      <c r="K104" s="138">
        <v>181</v>
      </c>
      <c r="L104" s="137">
        <v>263</v>
      </c>
      <c r="M104" s="137">
        <v>88</v>
      </c>
      <c r="N104" s="137">
        <v>17</v>
      </c>
      <c r="O104" s="138">
        <v>351</v>
      </c>
      <c r="P104" s="139">
        <v>693</v>
      </c>
      <c r="Q104" s="165"/>
      <c r="R104" s="159"/>
      <c r="S104" s="159"/>
      <c r="T104" s="140">
        <v>166</v>
      </c>
      <c r="U104" s="140">
        <v>32</v>
      </c>
      <c r="V104" s="8" t="str">
        <f ca="1">IFERROR(__xludf.DUMMYFUNCTION("""COMPUTED_VALUE"""),"Š")</f>
        <v>Š</v>
      </c>
      <c r="W104" s="8"/>
      <c r="X104" s="8" t="str">
        <f ca="1">IFERROR(__xludf.DUMMYFUNCTION("""COMPUTED_VALUE"""),"N")</f>
        <v>N</v>
      </c>
      <c r="Y104" s="8"/>
      <c r="Z104" s="8" t="str">
        <f ca="1">IFERROR(__xludf.DUMMYFUNCTION("""COMPUTED_VALUE"""),"M")</f>
        <v>M</v>
      </c>
    </row>
    <row r="105" spans="1:26" ht="12.75" x14ac:dyDescent="0.2">
      <c r="A105" s="172">
        <v>52</v>
      </c>
      <c r="B105" s="127" t="s">
        <v>102</v>
      </c>
      <c r="C105" s="128" t="s">
        <v>103</v>
      </c>
      <c r="D105" s="129">
        <v>105</v>
      </c>
      <c r="E105" s="130">
        <v>43</v>
      </c>
      <c r="F105" s="130">
        <v>9</v>
      </c>
      <c r="G105" s="155">
        <v>148</v>
      </c>
      <c r="H105" s="129">
        <v>118</v>
      </c>
      <c r="I105" s="130">
        <v>35</v>
      </c>
      <c r="J105" s="130">
        <v>9</v>
      </c>
      <c r="K105" s="131">
        <v>153</v>
      </c>
      <c r="L105" s="130">
        <v>223</v>
      </c>
      <c r="M105" s="130">
        <v>78</v>
      </c>
      <c r="N105" s="130">
        <v>18</v>
      </c>
      <c r="O105" s="131">
        <v>301</v>
      </c>
      <c r="P105" s="132">
        <v>633</v>
      </c>
      <c r="Q105" s="173">
        <v>633</v>
      </c>
      <c r="R105" s="174">
        <v>177</v>
      </c>
      <c r="S105" s="174">
        <v>37</v>
      </c>
      <c r="T105" s="133">
        <v>177</v>
      </c>
      <c r="U105" s="133">
        <v>37</v>
      </c>
      <c r="V105" s="8" t="str">
        <f ca="1">IFERROR(__xludf.DUMMYFUNCTION("""COMPUTED_VALUE"""),"Š")</f>
        <v>Š</v>
      </c>
      <c r="W105" s="8" t="str">
        <f ca="1">IFERROR(__xludf.DUMMYFUNCTION("""COMPUTED_VALUE"""),"N")</f>
        <v>N</v>
      </c>
      <c r="X105" s="8" t="str">
        <f ca="1">IFERROR(__xludf.DUMMYFUNCTION("""COMPUTED_VALUE"""),"N")</f>
        <v>N</v>
      </c>
      <c r="Y105" s="8" t="str">
        <f ca="1">IFERROR(__xludf.DUMMYFUNCTION("""COMPUTED_VALUE"""),"Ž")</f>
        <v>Ž</v>
      </c>
      <c r="Z105" s="8" t="str">
        <f ca="1">IFERROR(__xludf.DUMMYFUNCTION("""COMPUTED_VALUE"""),"Ž")</f>
        <v>Ž</v>
      </c>
    </row>
    <row r="106" spans="1:26" ht="12.75" x14ac:dyDescent="0.2">
      <c r="A106" s="165"/>
      <c r="B106" s="134" t="s">
        <v>104</v>
      </c>
      <c r="C106" s="135" t="s">
        <v>103</v>
      </c>
      <c r="D106" s="136">
        <v>107</v>
      </c>
      <c r="E106" s="137">
        <v>63</v>
      </c>
      <c r="F106" s="137">
        <v>7</v>
      </c>
      <c r="G106" s="156">
        <v>170</v>
      </c>
      <c r="H106" s="137">
        <v>126</v>
      </c>
      <c r="I106" s="137">
        <v>36</v>
      </c>
      <c r="J106" s="137">
        <v>12</v>
      </c>
      <c r="K106" s="138">
        <v>162</v>
      </c>
      <c r="L106" s="137">
        <v>233</v>
      </c>
      <c r="M106" s="137">
        <v>99</v>
      </c>
      <c r="N106" s="137">
        <v>19</v>
      </c>
      <c r="O106" s="138">
        <v>332</v>
      </c>
      <c r="P106" s="139">
        <v>633</v>
      </c>
      <c r="Q106" s="165"/>
      <c r="R106" s="159"/>
      <c r="S106" s="159"/>
      <c r="T106" s="140">
        <v>177</v>
      </c>
      <c r="U106" s="140">
        <v>37</v>
      </c>
      <c r="V106" s="8" t="str">
        <f ca="1">IFERROR(__xludf.DUMMYFUNCTION("""COMPUTED_VALUE"""),"Š")</f>
        <v>Š</v>
      </c>
      <c r="W106" s="8"/>
      <c r="X106" s="8" t="str">
        <f ca="1">IFERROR(__xludf.DUMMYFUNCTION("""COMPUTED_VALUE"""),"N")</f>
        <v>N</v>
      </c>
      <c r="Y106" s="8"/>
      <c r="Z106" s="8" t="str">
        <f ca="1">IFERROR(__xludf.DUMMYFUNCTION("""COMPUTED_VALUE"""),"Ž")</f>
        <v>Ž</v>
      </c>
    </row>
  </sheetData>
  <mergeCells count="210">
    <mergeCell ref="Q31:Q32"/>
    <mergeCell ref="Q33:Q34"/>
    <mergeCell ref="Q35:Q36"/>
    <mergeCell ref="R35:R36"/>
    <mergeCell ref="S35:S36"/>
    <mergeCell ref="R33:R34"/>
    <mergeCell ref="S33:S34"/>
    <mergeCell ref="R5:R6"/>
    <mergeCell ref="S5:S6"/>
    <mergeCell ref="S17:S18"/>
    <mergeCell ref="R29:R30"/>
    <mergeCell ref="S29:S30"/>
    <mergeCell ref="R31:R32"/>
    <mergeCell ref="S31:S32"/>
    <mergeCell ref="R9:R10"/>
    <mergeCell ref="S9:S10"/>
    <mergeCell ref="R41:R42"/>
    <mergeCell ref="S41:S42"/>
    <mergeCell ref="Q45:Q46"/>
    <mergeCell ref="Q47:Q48"/>
    <mergeCell ref="S43:S44"/>
    <mergeCell ref="Q53:Q54"/>
    <mergeCell ref="Q41:Q42"/>
    <mergeCell ref="S37:S38"/>
    <mergeCell ref="S39:S40"/>
    <mergeCell ref="Q43:Q44"/>
    <mergeCell ref="R43:R44"/>
    <mergeCell ref="R45:R46"/>
    <mergeCell ref="S45:S46"/>
    <mergeCell ref="Q37:Q38"/>
    <mergeCell ref="R37:R38"/>
    <mergeCell ref="Q39:Q40"/>
    <mergeCell ref="R39:R40"/>
    <mergeCell ref="Q55:Q56"/>
    <mergeCell ref="R59:R60"/>
    <mergeCell ref="S59:S60"/>
    <mergeCell ref="R57:R58"/>
    <mergeCell ref="S57:S58"/>
    <mergeCell ref="Q7:Q8"/>
    <mergeCell ref="R7:R8"/>
    <mergeCell ref="R47:R48"/>
    <mergeCell ref="S47:S48"/>
    <mergeCell ref="R51:R52"/>
    <mergeCell ref="S51:S52"/>
    <mergeCell ref="Q49:Q50"/>
    <mergeCell ref="R49:R50"/>
    <mergeCell ref="S49:S50"/>
    <mergeCell ref="Q51:Q52"/>
    <mergeCell ref="R55:R56"/>
    <mergeCell ref="S55:S56"/>
    <mergeCell ref="Q5:Q6"/>
    <mergeCell ref="Q9:Q10"/>
    <mergeCell ref="A35:A36"/>
    <mergeCell ref="A37:A38"/>
    <mergeCell ref="A39:A40"/>
    <mergeCell ref="A41:A42"/>
    <mergeCell ref="A43:A44"/>
    <mergeCell ref="A45:A46"/>
    <mergeCell ref="A47:A48"/>
    <mergeCell ref="A49:A50"/>
    <mergeCell ref="A3:A4"/>
    <mergeCell ref="A5:A6"/>
    <mergeCell ref="A7:A8"/>
    <mergeCell ref="A9:A10"/>
    <mergeCell ref="A11:A12"/>
    <mergeCell ref="A13:A14"/>
    <mergeCell ref="A15:A16"/>
    <mergeCell ref="A51:A52"/>
    <mergeCell ref="R53:R54"/>
    <mergeCell ref="S53:S54"/>
    <mergeCell ref="R89:R90"/>
    <mergeCell ref="S89:S90"/>
    <mergeCell ref="Q85:Q86"/>
    <mergeCell ref="R85:R86"/>
    <mergeCell ref="S85:S86"/>
    <mergeCell ref="Q87:Q88"/>
    <mergeCell ref="R87:R88"/>
    <mergeCell ref="S87:S88"/>
    <mergeCell ref="Q89:Q90"/>
    <mergeCell ref="R63:R64"/>
    <mergeCell ref="R67:R68"/>
    <mergeCell ref="S67:S68"/>
    <mergeCell ref="R65:R66"/>
    <mergeCell ref="S65:S66"/>
    <mergeCell ref="R77:R78"/>
    <mergeCell ref="S77:S78"/>
    <mergeCell ref="Q79:Q80"/>
    <mergeCell ref="Q101:Q102"/>
    <mergeCell ref="Q103:Q104"/>
    <mergeCell ref="R103:R104"/>
    <mergeCell ref="S103:S104"/>
    <mergeCell ref="Q105:Q106"/>
    <mergeCell ref="R105:R106"/>
    <mergeCell ref="S105:S106"/>
    <mergeCell ref="Q99:Q100"/>
    <mergeCell ref="R99:R100"/>
    <mergeCell ref="S99:S100"/>
    <mergeCell ref="R101:R102"/>
    <mergeCell ref="S101:S102"/>
    <mergeCell ref="R69:R70"/>
    <mergeCell ref="S69:S70"/>
    <mergeCell ref="Q71:Q72"/>
    <mergeCell ref="R75:R76"/>
    <mergeCell ref="S75:S76"/>
    <mergeCell ref="Q73:Q74"/>
    <mergeCell ref="R73:R74"/>
    <mergeCell ref="S73:S74"/>
    <mergeCell ref="Q75:Q76"/>
    <mergeCell ref="R71:R72"/>
    <mergeCell ref="S71:S72"/>
    <mergeCell ref="R79:R80"/>
    <mergeCell ref="S79:S80"/>
    <mergeCell ref="Q77:Q78"/>
    <mergeCell ref="Q81:Q82"/>
    <mergeCell ref="R81:R82"/>
    <mergeCell ref="S81:S82"/>
    <mergeCell ref="Q83:Q84"/>
    <mergeCell ref="R83:R84"/>
    <mergeCell ref="S83:S84"/>
    <mergeCell ref="R95:R96"/>
    <mergeCell ref="S95:S96"/>
    <mergeCell ref="Q91:Q92"/>
    <mergeCell ref="R91:R92"/>
    <mergeCell ref="S91:S92"/>
    <mergeCell ref="Q93:Q94"/>
    <mergeCell ref="R93:R94"/>
    <mergeCell ref="S93:S94"/>
    <mergeCell ref="Q95:Q96"/>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95:A96"/>
    <mergeCell ref="A97:A98"/>
    <mergeCell ref="A99:A100"/>
    <mergeCell ref="A101:A102"/>
    <mergeCell ref="A103:A104"/>
    <mergeCell ref="A105:A106"/>
    <mergeCell ref="A81:A82"/>
    <mergeCell ref="A83:A84"/>
    <mergeCell ref="A85:A86"/>
    <mergeCell ref="A87:A88"/>
    <mergeCell ref="A89:A90"/>
    <mergeCell ref="A91:A92"/>
    <mergeCell ref="A93:A94"/>
    <mergeCell ref="A31:A32"/>
    <mergeCell ref="A33:A34"/>
    <mergeCell ref="A17:A18"/>
    <mergeCell ref="A19:A20"/>
    <mergeCell ref="A21:A22"/>
    <mergeCell ref="A23:A24"/>
    <mergeCell ref="A25:A26"/>
    <mergeCell ref="A27:A28"/>
    <mergeCell ref="A29:A30"/>
    <mergeCell ref="Q17:Q18"/>
    <mergeCell ref="R17:R18"/>
    <mergeCell ref="Q11:Q12"/>
    <mergeCell ref="R11:R12"/>
    <mergeCell ref="S11:S12"/>
    <mergeCell ref="R13:R14"/>
    <mergeCell ref="S13:S14"/>
    <mergeCell ref="Q13:Q14"/>
    <mergeCell ref="Q15:Q16"/>
    <mergeCell ref="R15:R16"/>
    <mergeCell ref="S15:S16"/>
    <mergeCell ref="Q27:Q28"/>
    <mergeCell ref="R27:R28"/>
    <mergeCell ref="Q57:Q58"/>
    <mergeCell ref="Q59:Q60"/>
    <mergeCell ref="S63:S64"/>
    <mergeCell ref="Q61:Q62"/>
    <mergeCell ref="R61:R62"/>
    <mergeCell ref="S61:S62"/>
    <mergeCell ref="Q63:Q64"/>
    <mergeCell ref="S27:S28"/>
    <mergeCell ref="Q29:Q30"/>
    <mergeCell ref="R19:R20"/>
    <mergeCell ref="S19:S20"/>
    <mergeCell ref="Q21:Q22"/>
    <mergeCell ref="R21:R22"/>
    <mergeCell ref="S21:S22"/>
    <mergeCell ref="Q23:Q24"/>
    <mergeCell ref="Q25:Q26"/>
    <mergeCell ref="R25:R26"/>
    <mergeCell ref="S25:S26"/>
    <mergeCell ref="D1:G1"/>
    <mergeCell ref="H1:K1"/>
    <mergeCell ref="Q97:Q98"/>
    <mergeCell ref="R97:R98"/>
    <mergeCell ref="S97:S98"/>
    <mergeCell ref="Q65:Q66"/>
    <mergeCell ref="Q67:Q68"/>
    <mergeCell ref="Q69:Q70"/>
    <mergeCell ref="Q3:Q4"/>
    <mergeCell ref="R3:R4"/>
    <mergeCell ref="S3:S4"/>
    <mergeCell ref="S7:S8"/>
    <mergeCell ref="R23:R24"/>
    <mergeCell ref="S23:S24"/>
    <mergeCell ref="Q19:Q20"/>
  </mergeCells>
  <conditionalFormatting sqref="D3:D1048576">
    <cfRule type="cellIs" dxfId="18" priority="11" operator="greaterThanOrEqual">
      <formula>150</formula>
    </cfRule>
  </conditionalFormatting>
  <conditionalFormatting sqref="E3:E1048576">
    <cfRule type="cellIs" dxfId="17" priority="4" operator="greaterThanOrEqual">
      <formula>100</formula>
    </cfRule>
    <cfRule type="cellIs" dxfId="16" priority="9" operator="between">
      <formula>80</formula>
      <formula>99</formula>
    </cfRule>
  </conditionalFormatting>
  <conditionalFormatting sqref="G3:G1048576">
    <cfRule type="cellIs" dxfId="15" priority="2" operator="greaterThanOrEqual">
      <formula>250</formula>
    </cfRule>
    <cfRule type="cellIs" dxfId="14" priority="3" operator="between">
      <formula>200</formula>
      <formula>250</formula>
    </cfRule>
  </conditionalFormatting>
  <conditionalFormatting sqref="H3:H1048576">
    <cfRule type="cellIs" dxfId="13" priority="10" operator="greaterThanOrEqual">
      <formula>150</formula>
    </cfRule>
  </conditionalFormatting>
  <conditionalFormatting sqref="I3:I1048576">
    <cfRule type="cellIs" dxfId="12" priority="5" operator="greaterThanOrEqual">
      <formula>100</formula>
    </cfRule>
    <cfRule type="cellIs" dxfId="11" priority="8" operator="between">
      <formula>80</formula>
      <formula>99</formula>
    </cfRule>
  </conditionalFormatting>
  <conditionalFormatting sqref="K3:K1048576">
    <cfRule type="cellIs" dxfId="10" priority="6" operator="greaterThanOrEqual">
      <formula>250</formula>
    </cfRule>
    <cfRule type="cellIs" dxfId="9" priority="7" operator="between">
      <formula>200</formula>
      <formula>250</formula>
    </cfRule>
  </conditionalFormatting>
  <conditionalFormatting sqref="O3:O1048576">
    <cfRule type="cellIs" dxfId="8" priority="1" operator="greaterThanOrEqual">
      <formula>400</formula>
    </cfRule>
  </conditionalFormatting>
  <conditionalFormatting sqref="Q2:Q1001">
    <cfRule type="cellIs" dxfId="7" priority="12" operator="between">
      <formula>900</formula>
      <formula>999</formula>
    </cfRule>
    <cfRule type="cellIs" dxfId="6" priority="13" operator="between">
      <formula>800</formula>
      <formula>900</formula>
    </cfRule>
    <cfRule type="cellIs" dxfId="5" priority="16" operator="greaterThanOrEqual">
      <formula>1000</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A105"/>
  <sheetViews>
    <sheetView workbookViewId="0">
      <pane ySplit="1" topLeftCell="A2" activePane="bottomLeft" state="frozen"/>
      <selection activeCell="B3" sqref="B3"/>
      <selection pane="bottomLeft" activeCell="B3" sqref="B3"/>
    </sheetView>
  </sheetViews>
  <sheetFormatPr defaultColWidth="12.5703125" defaultRowHeight="15" customHeight="1" x14ac:dyDescent="0.2"/>
  <cols>
    <col min="1" max="1" width="6.5703125" customWidth="1"/>
    <col min="2" max="2" width="16.85546875" customWidth="1"/>
    <col min="3" max="3" width="14.85546875" customWidth="1"/>
    <col min="4" max="11" width="6.42578125" hidden="1" customWidth="1"/>
    <col min="12" max="15" width="6.42578125" customWidth="1"/>
    <col min="16" max="16" width="7.5703125" hidden="1" customWidth="1"/>
    <col min="17" max="17" width="7.5703125" customWidth="1"/>
    <col min="18" max="19" width="6.42578125" customWidth="1"/>
    <col min="20" max="21" width="6.42578125" hidden="1" customWidth="1"/>
    <col min="22" max="22" width="6.42578125" customWidth="1"/>
    <col min="23" max="24" width="6.42578125" hidden="1" customWidth="1"/>
    <col min="25" max="26" width="12.5703125" hidden="1"/>
  </cols>
  <sheetData>
    <row r="1" spans="1:27" ht="50.25" customHeight="1" x14ac:dyDescent="0.2">
      <c r="A1" s="101" t="s">
        <v>150</v>
      </c>
      <c r="B1" s="102" t="str">
        <f ca="1">IFERROR(__xludf.DUMMYFUNCTION("QUERY('2025'!C1:AB1000, ""SELECT * WHERE X = 'TV' ORDER BY Q DESC, U DESC"", 1)
"),"Jméno")</f>
        <v>Jméno</v>
      </c>
      <c r="C1" s="103" t="str">
        <f ca="1">IFERROR(__xludf.DUMMYFUNCTION("""COMPUTED_VALUE"""),"oddíl")</f>
        <v>oddíl</v>
      </c>
      <c r="D1" s="104" t="str">
        <f ca="1">IFERROR(__xludf.DUMMYFUNCTION("""COMPUTED_VALUE"""),"")</f>
        <v/>
      </c>
      <c r="E1" s="104" t="str">
        <f ca="1">IFERROR(__xludf.DUMMYFUNCTION("""COMPUTED_VALUE"""),"")</f>
        <v/>
      </c>
      <c r="F1" s="104" t="str">
        <f ca="1">IFERROR(__xludf.DUMMYFUNCTION("""COMPUTED_VALUE"""),"")</f>
        <v/>
      </c>
      <c r="G1" s="104" t="str">
        <f ca="1">IFERROR(__xludf.DUMMYFUNCTION("""COMPUTED_VALUE"""),"")</f>
        <v/>
      </c>
      <c r="H1" s="104" t="str">
        <f ca="1">IFERROR(__xludf.DUMMYFUNCTION("""COMPUTED_VALUE"""),"")</f>
        <v/>
      </c>
      <c r="I1" s="104" t="str">
        <f ca="1">IFERROR(__xludf.DUMMYFUNCTION("""COMPUTED_VALUE"""),"")</f>
        <v/>
      </c>
      <c r="J1" s="104" t="str">
        <f ca="1">IFERROR(__xludf.DUMMYFUNCTION("""COMPUTED_VALUE"""),"")</f>
        <v/>
      </c>
      <c r="K1" s="104" t="str">
        <f ca="1">IFERROR(__xludf.DUMMYFUNCTION("""COMPUTED_VALUE"""),"")</f>
        <v/>
      </c>
      <c r="L1" s="105" t="str">
        <f ca="1">IFERROR(__xludf.DUMMYFUNCTION("""COMPUTED_VALUE"""),"Plné")</f>
        <v>Plné</v>
      </c>
      <c r="M1" s="105" t="str">
        <f ca="1">IFERROR(__xludf.DUMMYFUNCTION("""COMPUTED_VALUE"""),"Dorážka")</f>
        <v>Dorážka</v>
      </c>
      <c r="N1" s="105" t="str">
        <f ca="1">IFERROR(__xludf.DUMMYFUNCTION("""COMPUTED_VALUE"""),"Chyby")</f>
        <v>Chyby</v>
      </c>
      <c r="O1" s="106" t="str">
        <f ca="1">IFERROR(__xludf.DUMMYFUNCTION("""COMPUTED_VALUE"""),"Celkem")</f>
        <v>Celkem</v>
      </c>
      <c r="P1" s="105" t="str">
        <f ca="1">IFERROR(__xludf.DUMMYFUNCTION("""COMPUTED_VALUE"""),"Celkem dvojice")</f>
        <v>Celkem dvojice</v>
      </c>
      <c r="Q1" s="107" t="str">
        <f ca="1">IFERROR(__xludf.DUMMYFUNCTION("""COMPUTED_VALUE"""),"Celkem dvojice")</f>
        <v>Celkem dvojice</v>
      </c>
      <c r="R1" s="108" t="str">
        <f ca="1">IFERROR(__xludf.DUMMYFUNCTION("""COMPUTED_VALUE"""),"Dorážka dvojice")</f>
        <v>Dorážka dvojice</v>
      </c>
      <c r="S1" s="108" t="str">
        <f ca="1">IFERROR(__xludf.DUMMYFUNCTION("""COMPUTED_VALUE"""),"Chyby dvojice")</f>
        <v>Chyby dvojice</v>
      </c>
      <c r="T1" s="109" t="str">
        <f ca="1">IFERROR(__xludf.DUMMYFUNCTION("""COMPUTED_VALUE"""),"")</f>
        <v/>
      </c>
      <c r="U1" s="109" t="str">
        <f ca="1">IFERROR(__xludf.DUMMYFUNCTION("""COMPUTED_VALUE"""),"")</f>
        <v/>
      </c>
      <c r="V1" s="110" t="str">
        <f ca="1">IFERROR(__xludf.DUMMYFUNCTION("""COMPUTED_VALUE"""),"Turné Vysočina")</f>
        <v>Turné Vysočina</v>
      </c>
      <c r="W1" s="111" t="str">
        <f ca="1">IFERROR(__xludf.DUMMYFUNCTION("""COMPUTED_VALUE"""),"")</f>
        <v/>
      </c>
      <c r="X1" s="111" t="str">
        <f ca="1">IFERROR(__xludf.DUMMYFUNCTION("""COMPUTED_VALUE"""),"")</f>
        <v/>
      </c>
      <c r="Y1" s="112" t="str">
        <f ca="1">IFERROR(__xludf.DUMMYFUNCTION("""COMPUTED_VALUE"""),"")</f>
        <v/>
      </c>
      <c r="Z1" s="112" t="str">
        <f ca="1">IFERROR(__xludf.DUMMYFUNCTION("""COMPUTED_VALUE"""),"")</f>
        <v/>
      </c>
      <c r="AA1" s="8" t="str">
        <f ca="1">IFERROR(__xludf.DUMMYFUNCTION("""COMPUTED_VALUE"""),"")</f>
        <v/>
      </c>
    </row>
    <row r="2" spans="1:27" ht="12.75" x14ac:dyDescent="0.2">
      <c r="A2" s="176">
        <v>1</v>
      </c>
      <c r="B2" s="113" t="str">
        <f ca="1">IFERROR(__xludf.DUMMYFUNCTION("""COMPUTED_VALUE"""),"Pešák David")</f>
        <v>Pešák David</v>
      </c>
      <c r="C2" s="114" t="str">
        <f ca="1">IFERROR(__xludf.DUMMYFUNCTION("""COMPUTED_VALUE"""),"Pacoši Slavonice")</f>
        <v>Pacoši Slavonice</v>
      </c>
      <c r="D2" s="115">
        <f ca="1">IFERROR(__xludf.DUMMYFUNCTION("""COMPUTED_VALUE"""),141)</f>
        <v>141</v>
      </c>
      <c r="E2" s="116">
        <f ca="1">IFERROR(__xludf.DUMMYFUNCTION("""COMPUTED_VALUE"""),78)</f>
        <v>78</v>
      </c>
      <c r="F2" s="116">
        <f ca="1">IFERROR(__xludf.DUMMYFUNCTION("""COMPUTED_VALUE"""),0)</f>
        <v>0</v>
      </c>
      <c r="G2" s="117">
        <f ca="1">IFERROR(__xludf.DUMMYFUNCTION("""COMPUTED_VALUE"""),219)</f>
        <v>219</v>
      </c>
      <c r="H2" s="115">
        <f ca="1">IFERROR(__xludf.DUMMYFUNCTION("""COMPUTED_VALUE"""),155)</f>
        <v>155</v>
      </c>
      <c r="I2" s="116">
        <f ca="1">IFERROR(__xludf.DUMMYFUNCTION("""COMPUTED_VALUE"""),96)</f>
        <v>96</v>
      </c>
      <c r="J2" s="116">
        <f ca="1">IFERROR(__xludf.DUMMYFUNCTION("""COMPUTED_VALUE"""),0)</f>
        <v>0</v>
      </c>
      <c r="K2" s="117">
        <f ca="1">IFERROR(__xludf.DUMMYFUNCTION("""COMPUTED_VALUE"""),251)</f>
        <v>251</v>
      </c>
      <c r="L2" s="116">
        <f ca="1">IFERROR(__xludf.DUMMYFUNCTION("""COMPUTED_VALUE"""),296)</f>
        <v>296</v>
      </c>
      <c r="M2" s="116">
        <f ca="1">IFERROR(__xludf.DUMMYFUNCTION("""COMPUTED_VALUE"""),174)</f>
        <v>174</v>
      </c>
      <c r="N2" s="116">
        <f ca="1">IFERROR(__xludf.DUMMYFUNCTION("""COMPUTED_VALUE"""),0)</f>
        <v>0</v>
      </c>
      <c r="O2" s="117">
        <f ca="1">IFERROR(__xludf.DUMMYFUNCTION("""COMPUTED_VALUE"""),470)</f>
        <v>470</v>
      </c>
      <c r="P2" s="116">
        <f ca="1">IFERROR(__xludf.DUMMYFUNCTION("""COMPUTED_VALUE"""),924)</f>
        <v>924</v>
      </c>
      <c r="Q2" s="177">
        <f ca="1">IFERROR(__xludf.DUMMYFUNCTION("""COMPUTED_VALUE"""),924)</f>
        <v>924</v>
      </c>
      <c r="R2" s="178">
        <f ca="1">IFERROR(__xludf.DUMMYFUNCTION("""COMPUTED_VALUE"""),338)</f>
        <v>338</v>
      </c>
      <c r="S2" s="178">
        <f ca="1">IFERROR(__xludf.DUMMYFUNCTION("""COMPUTED_VALUE"""),4)</f>
        <v>4</v>
      </c>
      <c r="T2" s="118">
        <f ca="1">IFERROR(__xludf.DUMMYFUNCTION("""COMPUTED_VALUE"""),338)</f>
        <v>338</v>
      </c>
      <c r="U2" s="118">
        <f ca="1">IFERROR(__xludf.DUMMYFUNCTION("""COMPUTED_VALUE"""),4)</f>
        <v>4</v>
      </c>
      <c r="V2" s="179" t="str">
        <f ca="1">IFERROR(__xludf.DUMMYFUNCTION("""COMPUTED_VALUE"""),"TV")</f>
        <v>TV</v>
      </c>
      <c r="W2" s="119" t="str">
        <f ca="1">IFERROR(__xludf.DUMMYFUNCTION("""COMPUTED_VALUE"""),"TV")</f>
        <v>TV</v>
      </c>
      <c r="X2" s="119" t="str">
        <f ca="1">IFERROR(__xludf.DUMMYFUNCTION("""COMPUTED_VALUE"""),"N")</f>
        <v>N</v>
      </c>
      <c r="Y2" s="119" t="str">
        <f ca="1">IFERROR(__xludf.DUMMYFUNCTION("""COMPUTED_VALUE"""),"N")</f>
        <v>N</v>
      </c>
      <c r="Z2" s="119" t="str">
        <f ca="1">IFERROR(__xludf.DUMMYFUNCTION("""COMPUTED_VALUE"""),"M")</f>
        <v>M</v>
      </c>
      <c r="AA2" s="119" t="str">
        <f ca="1">IFERROR(__xludf.DUMMYFUNCTION("""COMPUTED_VALUE"""),"M")</f>
        <v>M</v>
      </c>
    </row>
    <row r="3" spans="1:27" ht="12.75" x14ac:dyDescent="0.2">
      <c r="A3" s="165"/>
      <c r="B3" s="120" t="str">
        <f ca="1">IFERROR(__xludf.DUMMYFUNCTION("""COMPUTED_VALUE"""),"Šívr David")</f>
        <v>Šívr David</v>
      </c>
      <c r="C3" s="121" t="str">
        <f ca="1">IFERROR(__xludf.DUMMYFUNCTION("""COMPUTED_VALUE"""),"Pacoši Slavonice")</f>
        <v>Pacoši Slavonice</v>
      </c>
      <c r="D3" s="122">
        <f ca="1">IFERROR(__xludf.DUMMYFUNCTION("""COMPUTED_VALUE"""),145)</f>
        <v>145</v>
      </c>
      <c r="E3" s="123">
        <f ca="1">IFERROR(__xludf.DUMMYFUNCTION("""COMPUTED_VALUE"""),76)</f>
        <v>76</v>
      </c>
      <c r="F3" s="123">
        <f ca="1">IFERROR(__xludf.DUMMYFUNCTION("""COMPUTED_VALUE"""),3)</f>
        <v>3</v>
      </c>
      <c r="G3" s="124">
        <f ca="1">IFERROR(__xludf.DUMMYFUNCTION("""COMPUTED_VALUE"""),221)</f>
        <v>221</v>
      </c>
      <c r="H3" s="122">
        <f ca="1">IFERROR(__xludf.DUMMYFUNCTION("""COMPUTED_VALUE"""),145)</f>
        <v>145</v>
      </c>
      <c r="I3" s="123">
        <f ca="1">IFERROR(__xludf.DUMMYFUNCTION("""COMPUTED_VALUE"""),88)</f>
        <v>88</v>
      </c>
      <c r="J3" s="123">
        <f ca="1">IFERROR(__xludf.DUMMYFUNCTION("""COMPUTED_VALUE"""),1)</f>
        <v>1</v>
      </c>
      <c r="K3" s="124">
        <f ca="1">IFERROR(__xludf.DUMMYFUNCTION("""COMPUTED_VALUE"""),233)</f>
        <v>233</v>
      </c>
      <c r="L3" s="123">
        <f ca="1">IFERROR(__xludf.DUMMYFUNCTION("""COMPUTED_VALUE"""),290)</f>
        <v>290</v>
      </c>
      <c r="M3" s="123">
        <f ca="1">IFERROR(__xludf.DUMMYFUNCTION("""COMPUTED_VALUE"""),164)</f>
        <v>164</v>
      </c>
      <c r="N3" s="123">
        <f ca="1">IFERROR(__xludf.DUMMYFUNCTION("""COMPUTED_VALUE"""),4)</f>
        <v>4</v>
      </c>
      <c r="O3" s="124">
        <f ca="1">IFERROR(__xludf.DUMMYFUNCTION("""COMPUTED_VALUE"""),454)</f>
        <v>454</v>
      </c>
      <c r="P3" s="123">
        <f ca="1">IFERROR(__xludf.DUMMYFUNCTION("""COMPUTED_VALUE"""),924)</f>
        <v>924</v>
      </c>
      <c r="Q3" s="165"/>
      <c r="R3" s="159"/>
      <c r="S3" s="159"/>
      <c r="T3" s="125">
        <f ca="1">IFERROR(__xludf.DUMMYFUNCTION("""COMPUTED_VALUE"""),338)</f>
        <v>338</v>
      </c>
      <c r="U3" s="125">
        <f ca="1">IFERROR(__xludf.DUMMYFUNCTION("""COMPUTED_VALUE"""),4)</f>
        <v>4</v>
      </c>
      <c r="V3" s="159"/>
      <c r="W3" s="126" t="str">
        <f ca="1">IFERROR(__xludf.DUMMYFUNCTION("""COMPUTED_VALUE"""),"TV")</f>
        <v>TV</v>
      </c>
      <c r="X3" s="126"/>
      <c r="Y3" s="126" t="str">
        <f ca="1">IFERROR(__xludf.DUMMYFUNCTION("""COMPUTED_VALUE"""),"N")</f>
        <v>N</v>
      </c>
      <c r="Z3" s="126"/>
      <c r="AA3" s="119" t="str">
        <f ca="1">IFERROR(__xludf.DUMMYFUNCTION("""COMPUTED_VALUE"""),"M")</f>
        <v>M</v>
      </c>
    </row>
    <row r="4" spans="1:27" ht="12.75" x14ac:dyDescent="0.2">
      <c r="A4" s="172">
        <v>2</v>
      </c>
      <c r="B4" s="127" t="str">
        <f ca="1">IFERROR(__xludf.DUMMYFUNCTION("""COMPUTED_VALUE"""),"Votava Petr")</f>
        <v>Votava Petr</v>
      </c>
      <c r="C4" s="128" t="str">
        <f ca="1">IFERROR(__xludf.DUMMYFUNCTION("""COMPUTED_VALUE"""),"TJ Start Jihlava")</f>
        <v>TJ Start Jihlava</v>
      </c>
      <c r="D4" s="129">
        <f ca="1">IFERROR(__xludf.DUMMYFUNCTION("""COMPUTED_VALUE"""),150)</f>
        <v>150</v>
      </c>
      <c r="E4" s="130">
        <f ca="1">IFERROR(__xludf.DUMMYFUNCTION("""COMPUTED_VALUE"""),69)</f>
        <v>69</v>
      </c>
      <c r="F4" s="130">
        <f ca="1">IFERROR(__xludf.DUMMYFUNCTION("""COMPUTED_VALUE"""),1)</f>
        <v>1</v>
      </c>
      <c r="G4" s="131">
        <f ca="1">IFERROR(__xludf.DUMMYFUNCTION("""COMPUTED_VALUE"""),219)</f>
        <v>219</v>
      </c>
      <c r="H4" s="129">
        <f ca="1">IFERROR(__xludf.DUMMYFUNCTION("""COMPUTED_VALUE"""),150)</f>
        <v>150</v>
      </c>
      <c r="I4" s="130">
        <f ca="1">IFERROR(__xludf.DUMMYFUNCTION("""COMPUTED_VALUE"""),78)</f>
        <v>78</v>
      </c>
      <c r="J4" s="130">
        <f ca="1">IFERROR(__xludf.DUMMYFUNCTION("""COMPUTED_VALUE"""),1)</f>
        <v>1</v>
      </c>
      <c r="K4" s="131">
        <f ca="1">IFERROR(__xludf.DUMMYFUNCTION("""COMPUTED_VALUE"""),228)</f>
        <v>228</v>
      </c>
      <c r="L4" s="130">
        <f ca="1">IFERROR(__xludf.DUMMYFUNCTION("""COMPUTED_VALUE"""),300)</f>
        <v>300</v>
      </c>
      <c r="M4" s="130">
        <f ca="1">IFERROR(__xludf.DUMMYFUNCTION("""COMPUTED_VALUE"""),147)</f>
        <v>147</v>
      </c>
      <c r="N4" s="130">
        <f ca="1">IFERROR(__xludf.DUMMYFUNCTION("""COMPUTED_VALUE"""),2)</f>
        <v>2</v>
      </c>
      <c r="O4" s="131">
        <f ca="1">IFERROR(__xludf.DUMMYFUNCTION("""COMPUTED_VALUE"""),447)</f>
        <v>447</v>
      </c>
      <c r="P4" s="132">
        <f ca="1">IFERROR(__xludf.DUMMYFUNCTION("""COMPUTED_VALUE"""),895)</f>
        <v>895</v>
      </c>
      <c r="Q4" s="173">
        <f ca="1">IFERROR(__xludf.DUMMYFUNCTION("""COMPUTED_VALUE"""),895)</f>
        <v>895</v>
      </c>
      <c r="R4" s="174">
        <f ca="1">IFERROR(__xludf.DUMMYFUNCTION("""COMPUTED_VALUE"""),290)</f>
        <v>290</v>
      </c>
      <c r="S4" s="174">
        <f ca="1">IFERROR(__xludf.DUMMYFUNCTION("""COMPUTED_VALUE"""),4)</f>
        <v>4</v>
      </c>
      <c r="T4" s="133">
        <f ca="1">IFERROR(__xludf.DUMMYFUNCTION("""COMPUTED_VALUE"""),290)</f>
        <v>290</v>
      </c>
      <c r="U4" s="133">
        <f ca="1">IFERROR(__xludf.DUMMYFUNCTION("""COMPUTED_VALUE"""),4)</f>
        <v>4</v>
      </c>
      <c r="V4" s="175" t="str">
        <f ca="1">IFERROR(__xludf.DUMMYFUNCTION("""COMPUTED_VALUE"""),"TV")</f>
        <v>TV</v>
      </c>
      <c r="W4" s="8" t="str">
        <f ca="1">IFERROR(__xludf.DUMMYFUNCTION("""COMPUTED_VALUE"""),"TV")</f>
        <v>TV</v>
      </c>
      <c r="X4" s="8" t="str">
        <f ca="1">IFERROR(__xludf.DUMMYFUNCTION("""COMPUTED_VALUE"""),"R")</f>
        <v>R</v>
      </c>
      <c r="Y4" s="8" t="str">
        <f ca="1">IFERROR(__xludf.DUMMYFUNCTION("""COMPUTED_VALUE"""),"R")</f>
        <v>R</v>
      </c>
      <c r="Z4" s="8" t="str">
        <f ca="1">IFERROR(__xludf.DUMMYFUNCTION("""COMPUTED_VALUE"""),"M")</f>
        <v>M</v>
      </c>
      <c r="AA4" s="8" t="str">
        <f ca="1">IFERROR(__xludf.DUMMYFUNCTION("""COMPUTED_VALUE"""),"M")</f>
        <v>M</v>
      </c>
    </row>
    <row r="5" spans="1:27" ht="12.75" x14ac:dyDescent="0.2">
      <c r="A5" s="165"/>
      <c r="B5" s="134" t="str">
        <f ca="1">IFERROR(__xludf.DUMMYFUNCTION("""COMPUTED_VALUE"""),"Votava Martin")</f>
        <v>Votava Martin</v>
      </c>
      <c r="C5" s="135" t="str">
        <f ca="1">IFERROR(__xludf.DUMMYFUNCTION("""COMPUTED_VALUE"""),"TJ Start Jihlava")</f>
        <v>TJ Start Jihlava</v>
      </c>
      <c r="D5" s="136">
        <f ca="1">IFERROR(__xludf.DUMMYFUNCTION("""COMPUTED_VALUE"""),150)</f>
        <v>150</v>
      </c>
      <c r="E5" s="137">
        <f ca="1">IFERROR(__xludf.DUMMYFUNCTION("""COMPUTED_VALUE"""),81)</f>
        <v>81</v>
      </c>
      <c r="F5" s="137">
        <f ca="1">IFERROR(__xludf.DUMMYFUNCTION("""COMPUTED_VALUE"""),1)</f>
        <v>1</v>
      </c>
      <c r="G5" s="138">
        <f ca="1">IFERROR(__xludf.DUMMYFUNCTION("""COMPUTED_VALUE"""),231)</f>
        <v>231</v>
      </c>
      <c r="H5" s="136">
        <f ca="1">IFERROR(__xludf.DUMMYFUNCTION("""COMPUTED_VALUE"""),155)</f>
        <v>155</v>
      </c>
      <c r="I5" s="137">
        <f ca="1">IFERROR(__xludf.DUMMYFUNCTION("""COMPUTED_VALUE"""),62)</f>
        <v>62</v>
      </c>
      <c r="J5" s="137">
        <f ca="1">IFERROR(__xludf.DUMMYFUNCTION("""COMPUTED_VALUE"""),1)</f>
        <v>1</v>
      </c>
      <c r="K5" s="138">
        <f ca="1">IFERROR(__xludf.DUMMYFUNCTION("""COMPUTED_VALUE"""),217)</f>
        <v>217</v>
      </c>
      <c r="L5" s="137">
        <f ca="1">IFERROR(__xludf.DUMMYFUNCTION("""COMPUTED_VALUE"""),305)</f>
        <v>305</v>
      </c>
      <c r="M5" s="137">
        <f ca="1">IFERROR(__xludf.DUMMYFUNCTION("""COMPUTED_VALUE"""),143)</f>
        <v>143</v>
      </c>
      <c r="N5" s="137">
        <f ca="1">IFERROR(__xludf.DUMMYFUNCTION("""COMPUTED_VALUE"""),2)</f>
        <v>2</v>
      </c>
      <c r="O5" s="138">
        <f ca="1">IFERROR(__xludf.DUMMYFUNCTION("""COMPUTED_VALUE"""),448)</f>
        <v>448</v>
      </c>
      <c r="P5" s="139">
        <f ca="1">IFERROR(__xludf.DUMMYFUNCTION("""COMPUTED_VALUE"""),895)</f>
        <v>895</v>
      </c>
      <c r="Q5" s="165"/>
      <c r="R5" s="159"/>
      <c r="S5" s="159"/>
      <c r="T5" s="140">
        <f ca="1">IFERROR(__xludf.DUMMYFUNCTION("""COMPUTED_VALUE"""),290)</f>
        <v>290</v>
      </c>
      <c r="U5" s="140">
        <f ca="1">IFERROR(__xludf.DUMMYFUNCTION("""COMPUTED_VALUE"""),4)</f>
        <v>4</v>
      </c>
      <c r="V5" s="159"/>
      <c r="W5" s="141" t="str">
        <f ca="1">IFERROR(__xludf.DUMMYFUNCTION("""COMPUTED_VALUE"""),"TV")</f>
        <v>TV</v>
      </c>
      <c r="X5" s="141"/>
      <c r="Y5" s="141" t="str">
        <f ca="1">IFERROR(__xludf.DUMMYFUNCTION("""COMPUTED_VALUE"""),"R")</f>
        <v>R</v>
      </c>
      <c r="Z5" s="141"/>
      <c r="AA5" s="8" t="str">
        <f ca="1">IFERROR(__xludf.DUMMYFUNCTION("""COMPUTED_VALUE"""),"M")</f>
        <v>M</v>
      </c>
    </row>
    <row r="6" spans="1:27" ht="12.75" x14ac:dyDescent="0.2">
      <c r="A6" s="172">
        <v>3</v>
      </c>
      <c r="B6" s="127" t="str">
        <f ca="1">IFERROR(__xludf.DUMMYFUNCTION("""COMPUTED_VALUE"""),"Sáblík Pavel")</f>
        <v>Sáblík Pavel</v>
      </c>
      <c r="C6" s="128" t="str">
        <f ca="1">IFERROR(__xludf.DUMMYFUNCTION("""COMPUTED_VALUE"""),"Nové Město na Moravě")</f>
        <v>Nové Město na Moravě</v>
      </c>
      <c r="D6" s="129">
        <f ca="1">IFERROR(__xludf.DUMMYFUNCTION("""COMPUTED_VALUE"""),152)</f>
        <v>152</v>
      </c>
      <c r="E6" s="130">
        <f ca="1">IFERROR(__xludf.DUMMYFUNCTION("""COMPUTED_VALUE"""),81)</f>
        <v>81</v>
      </c>
      <c r="F6" s="130">
        <f ca="1">IFERROR(__xludf.DUMMYFUNCTION("""COMPUTED_VALUE"""),1)</f>
        <v>1</v>
      </c>
      <c r="G6" s="131">
        <f ca="1">IFERROR(__xludf.DUMMYFUNCTION("""COMPUTED_VALUE"""),233)</f>
        <v>233</v>
      </c>
      <c r="H6" s="129">
        <f ca="1">IFERROR(__xludf.DUMMYFUNCTION("""COMPUTED_VALUE"""),154)</f>
        <v>154</v>
      </c>
      <c r="I6" s="130">
        <f ca="1">IFERROR(__xludf.DUMMYFUNCTION("""COMPUTED_VALUE"""),59)</f>
        <v>59</v>
      </c>
      <c r="J6" s="130">
        <f ca="1">IFERROR(__xludf.DUMMYFUNCTION("""COMPUTED_VALUE"""),4)</f>
        <v>4</v>
      </c>
      <c r="K6" s="131">
        <f ca="1">IFERROR(__xludf.DUMMYFUNCTION("""COMPUTED_VALUE"""),213)</f>
        <v>213</v>
      </c>
      <c r="L6" s="130">
        <f ca="1">IFERROR(__xludf.DUMMYFUNCTION("""COMPUTED_VALUE"""),306)</f>
        <v>306</v>
      </c>
      <c r="M6" s="130">
        <f ca="1">IFERROR(__xludf.DUMMYFUNCTION("""COMPUTED_VALUE"""),140)</f>
        <v>140</v>
      </c>
      <c r="N6" s="130">
        <f ca="1">IFERROR(__xludf.DUMMYFUNCTION("""COMPUTED_VALUE"""),5)</f>
        <v>5</v>
      </c>
      <c r="O6" s="131">
        <f ca="1">IFERROR(__xludf.DUMMYFUNCTION("""COMPUTED_VALUE"""),446)</f>
        <v>446</v>
      </c>
      <c r="P6" s="132">
        <f ca="1">IFERROR(__xludf.DUMMYFUNCTION("""COMPUTED_VALUE"""),883)</f>
        <v>883</v>
      </c>
      <c r="Q6" s="173">
        <f ca="1">IFERROR(__xludf.DUMMYFUNCTION("""COMPUTED_VALUE"""),883)</f>
        <v>883</v>
      </c>
      <c r="R6" s="174">
        <f ca="1">IFERROR(__xludf.DUMMYFUNCTION("""COMPUTED_VALUE"""),278)</f>
        <v>278</v>
      </c>
      <c r="S6" s="174">
        <f ca="1">IFERROR(__xludf.DUMMYFUNCTION("""COMPUTED_VALUE"""),9)</f>
        <v>9</v>
      </c>
      <c r="T6" s="133">
        <f ca="1">IFERROR(__xludf.DUMMYFUNCTION("""COMPUTED_VALUE"""),278)</f>
        <v>278</v>
      </c>
      <c r="U6" s="133">
        <f ca="1">IFERROR(__xludf.DUMMYFUNCTION("""COMPUTED_VALUE"""),9)</f>
        <v>9</v>
      </c>
      <c r="V6" s="175" t="str">
        <f ca="1">IFERROR(__xludf.DUMMYFUNCTION("""COMPUTED_VALUE"""),"TV")</f>
        <v>TV</v>
      </c>
      <c r="W6" s="8" t="str">
        <f ca="1">IFERROR(__xludf.DUMMYFUNCTION("""COMPUTED_VALUE"""),"TV")</f>
        <v>TV</v>
      </c>
      <c r="X6" s="8" t="str">
        <f ca="1">IFERROR(__xludf.DUMMYFUNCTION("""COMPUTED_VALUE"""),"R")</f>
        <v>R</v>
      </c>
      <c r="Y6" s="8" t="str">
        <f ca="1">IFERROR(__xludf.DUMMYFUNCTION("""COMPUTED_VALUE"""),"R")</f>
        <v>R</v>
      </c>
      <c r="Z6" s="8" t="str">
        <f ca="1">IFERROR(__xludf.DUMMYFUNCTION("""COMPUTED_VALUE"""),"M")</f>
        <v>M</v>
      </c>
      <c r="AA6" s="8" t="str">
        <f ca="1">IFERROR(__xludf.DUMMYFUNCTION("""COMPUTED_VALUE"""),"M")</f>
        <v>M</v>
      </c>
    </row>
    <row r="7" spans="1:27" ht="12.75" x14ac:dyDescent="0.2">
      <c r="A7" s="165"/>
      <c r="B7" s="134" t="str">
        <f ca="1">IFERROR(__xludf.DUMMYFUNCTION("""COMPUTED_VALUE"""),"Miko Michal")</f>
        <v>Miko Michal</v>
      </c>
      <c r="C7" s="135" t="str">
        <f ca="1">IFERROR(__xludf.DUMMYFUNCTION("""COMPUTED_VALUE"""),"Nové Město na Moravě")</f>
        <v>Nové Město na Moravě</v>
      </c>
      <c r="D7" s="136">
        <f ca="1">IFERROR(__xludf.DUMMYFUNCTION("""COMPUTED_VALUE"""),156)</f>
        <v>156</v>
      </c>
      <c r="E7" s="137">
        <f ca="1">IFERROR(__xludf.DUMMYFUNCTION("""COMPUTED_VALUE"""),67)</f>
        <v>67</v>
      </c>
      <c r="F7" s="137">
        <f ca="1">IFERROR(__xludf.DUMMYFUNCTION("""COMPUTED_VALUE"""),2)</f>
        <v>2</v>
      </c>
      <c r="G7" s="138">
        <f ca="1">IFERROR(__xludf.DUMMYFUNCTION("""COMPUTED_VALUE"""),223)</f>
        <v>223</v>
      </c>
      <c r="H7" s="136">
        <f ca="1">IFERROR(__xludf.DUMMYFUNCTION("""COMPUTED_VALUE"""),143)</f>
        <v>143</v>
      </c>
      <c r="I7" s="137">
        <f ca="1">IFERROR(__xludf.DUMMYFUNCTION("""COMPUTED_VALUE"""),71)</f>
        <v>71</v>
      </c>
      <c r="J7" s="137">
        <f ca="1">IFERROR(__xludf.DUMMYFUNCTION("""COMPUTED_VALUE"""),2)</f>
        <v>2</v>
      </c>
      <c r="K7" s="138">
        <f ca="1">IFERROR(__xludf.DUMMYFUNCTION("""COMPUTED_VALUE"""),214)</f>
        <v>214</v>
      </c>
      <c r="L7" s="137">
        <f ca="1">IFERROR(__xludf.DUMMYFUNCTION("""COMPUTED_VALUE"""),299)</f>
        <v>299</v>
      </c>
      <c r="M7" s="137">
        <f ca="1">IFERROR(__xludf.DUMMYFUNCTION("""COMPUTED_VALUE"""),138)</f>
        <v>138</v>
      </c>
      <c r="N7" s="137">
        <f ca="1">IFERROR(__xludf.DUMMYFUNCTION("""COMPUTED_VALUE"""),4)</f>
        <v>4</v>
      </c>
      <c r="O7" s="138">
        <f ca="1">IFERROR(__xludf.DUMMYFUNCTION("""COMPUTED_VALUE"""),437)</f>
        <v>437</v>
      </c>
      <c r="P7" s="139">
        <f ca="1">IFERROR(__xludf.DUMMYFUNCTION("""COMPUTED_VALUE"""),883)</f>
        <v>883</v>
      </c>
      <c r="Q7" s="165"/>
      <c r="R7" s="159"/>
      <c r="S7" s="159"/>
      <c r="T7" s="140">
        <f ca="1">IFERROR(__xludf.DUMMYFUNCTION("""COMPUTED_VALUE"""),278)</f>
        <v>278</v>
      </c>
      <c r="U7" s="140">
        <f ca="1">IFERROR(__xludf.DUMMYFUNCTION("""COMPUTED_VALUE"""),9)</f>
        <v>9</v>
      </c>
      <c r="V7" s="159"/>
      <c r="W7" s="141" t="str">
        <f ca="1">IFERROR(__xludf.DUMMYFUNCTION("""COMPUTED_VALUE"""),"TV")</f>
        <v>TV</v>
      </c>
      <c r="X7" s="141"/>
      <c r="Y7" s="141" t="str">
        <f ca="1">IFERROR(__xludf.DUMMYFUNCTION("""COMPUTED_VALUE"""),"R")</f>
        <v>R</v>
      </c>
      <c r="Z7" s="141"/>
      <c r="AA7" s="8" t="str">
        <f ca="1">IFERROR(__xludf.DUMMYFUNCTION("""COMPUTED_VALUE"""),"M")</f>
        <v>M</v>
      </c>
    </row>
    <row r="8" spans="1:27" ht="12.75" x14ac:dyDescent="0.2">
      <c r="A8" s="172">
        <v>4</v>
      </c>
      <c r="B8" s="127" t="str">
        <f ca="1">IFERROR(__xludf.DUMMYFUNCTION("""COMPUTED_VALUE"""),"Hlisnikovský Petr")</f>
        <v>Hlisnikovský Petr</v>
      </c>
      <c r="C8" s="128" t="str">
        <f ca="1">IFERROR(__xludf.DUMMYFUNCTION("""COMPUTED_VALUE"""),"Nové Město na Moravě")</f>
        <v>Nové Město na Moravě</v>
      </c>
      <c r="D8" s="129">
        <f ca="1">IFERROR(__xludf.DUMMYFUNCTION("""COMPUTED_VALUE"""),147)</f>
        <v>147</v>
      </c>
      <c r="E8" s="130">
        <f ca="1">IFERROR(__xludf.DUMMYFUNCTION("""COMPUTED_VALUE"""),72)</f>
        <v>72</v>
      </c>
      <c r="F8" s="130">
        <f ca="1">IFERROR(__xludf.DUMMYFUNCTION("""COMPUTED_VALUE"""),2)</f>
        <v>2</v>
      </c>
      <c r="G8" s="131">
        <f ca="1">IFERROR(__xludf.DUMMYFUNCTION("""COMPUTED_VALUE"""),219)</f>
        <v>219</v>
      </c>
      <c r="H8" s="129">
        <f ca="1">IFERROR(__xludf.DUMMYFUNCTION("""COMPUTED_VALUE"""),141)</f>
        <v>141</v>
      </c>
      <c r="I8" s="130">
        <f ca="1">IFERROR(__xludf.DUMMYFUNCTION("""COMPUTED_VALUE"""),79)</f>
        <v>79</v>
      </c>
      <c r="J8" s="130">
        <f ca="1">IFERROR(__xludf.DUMMYFUNCTION("""COMPUTED_VALUE"""),0)</f>
        <v>0</v>
      </c>
      <c r="K8" s="131">
        <f ca="1">IFERROR(__xludf.DUMMYFUNCTION("""COMPUTED_VALUE"""),220)</f>
        <v>220</v>
      </c>
      <c r="L8" s="130">
        <f ca="1">IFERROR(__xludf.DUMMYFUNCTION("""COMPUTED_VALUE"""),288)</f>
        <v>288</v>
      </c>
      <c r="M8" s="130">
        <f ca="1">IFERROR(__xludf.DUMMYFUNCTION("""COMPUTED_VALUE"""),151)</f>
        <v>151</v>
      </c>
      <c r="N8" s="130">
        <f ca="1">IFERROR(__xludf.DUMMYFUNCTION("""COMPUTED_VALUE"""),2)</f>
        <v>2</v>
      </c>
      <c r="O8" s="131">
        <f ca="1">IFERROR(__xludf.DUMMYFUNCTION("""COMPUTED_VALUE"""),439)</f>
        <v>439</v>
      </c>
      <c r="P8" s="132">
        <f ca="1">IFERROR(__xludf.DUMMYFUNCTION("""COMPUTED_VALUE"""),881)</f>
        <v>881</v>
      </c>
      <c r="Q8" s="173">
        <f ca="1">IFERROR(__xludf.DUMMYFUNCTION("""COMPUTED_VALUE"""),881)</f>
        <v>881</v>
      </c>
      <c r="R8" s="174">
        <f ca="1">IFERROR(__xludf.DUMMYFUNCTION("""COMPUTED_VALUE"""),291)</f>
        <v>291</v>
      </c>
      <c r="S8" s="174">
        <f ca="1">IFERROR(__xludf.DUMMYFUNCTION("""COMPUTED_VALUE"""),8)</f>
        <v>8</v>
      </c>
      <c r="T8" s="133">
        <f ca="1">IFERROR(__xludf.DUMMYFUNCTION("""COMPUTED_VALUE"""),291)</f>
        <v>291</v>
      </c>
      <c r="U8" s="133">
        <f ca="1">IFERROR(__xludf.DUMMYFUNCTION("""COMPUTED_VALUE"""),8)</f>
        <v>8</v>
      </c>
      <c r="V8" s="175" t="str">
        <f ca="1">IFERROR(__xludf.DUMMYFUNCTION("""COMPUTED_VALUE"""),"TV")</f>
        <v>TV</v>
      </c>
      <c r="W8" s="8" t="str">
        <f ca="1">IFERROR(__xludf.DUMMYFUNCTION("""COMPUTED_VALUE"""),"TV")</f>
        <v>TV</v>
      </c>
      <c r="X8" s="8" t="str">
        <f ca="1">IFERROR(__xludf.DUMMYFUNCTION("""COMPUTED_VALUE"""),"R")</f>
        <v>R</v>
      </c>
      <c r="Y8" s="8" t="str">
        <f ca="1">IFERROR(__xludf.DUMMYFUNCTION("""COMPUTED_VALUE"""),"R")</f>
        <v>R</v>
      </c>
      <c r="Z8" s="8" t="str">
        <f ca="1">IFERROR(__xludf.DUMMYFUNCTION("""COMPUTED_VALUE"""),"S")</f>
        <v>S</v>
      </c>
      <c r="AA8" s="8" t="str">
        <f ca="1">IFERROR(__xludf.DUMMYFUNCTION("""COMPUTED_VALUE"""),"S")</f>
        <v>S</v>
      </c>
    </row>
    <row r="9" spans="1:27" ht="12.75" x14ac:dyDescent="0.2">
      <c r="A9" s="165"/>
      <c r="B9" s="134" t="str">
        <f ca="1">IFERROR(__xludf.DUMMYFUNCTION("""COMPUTED_VALUE"""),"Concepcion Lenka")</f>
        <v>Concepcion Lenka</v>
      </c>
      <c r="C9" s="135" t="str">
        <f ca="1">IFERROR(__xludf.DUMMYFUNCTION("""COMPUTED_VALUE"""),"TJ Třebíč")</f>
        <v>TJ Třebíč</v>
      </c>
      <c r="D9" s="136">
        <f ca="1">IFERROR(__xludf.DUMMYFUNCTION("""COMPUTED_VALUE"""),156)</f>
        <v>156</v>
      </c>
      <c r="E9" s="137">
        <f ca="1">IFERROR(__xludf.DUMMYFUNCTION("""COMPUTED_VALUE"""),78)</f>
        <v>78</v>
      </c>
      <c r="F9" s="137">
        <f ca="1">IFERROR(__xludf.DUMMYFUNCTION("""COMPUTED_VALUE"""),3)</f>
        <v>3</v>
      </c>
      <c r="G9" s="138">
        <f ca="1">IFERROR(__xludf.DUMMYFUNCTION("""COMPUTED_VALUE"""),234)</f>
        <v>234</v>
      </c>
      <c r="H9" s="136">
        <f ca="1">IFERROR(__xludf.DUMMYFUNCTION("""COMPUTED_VALUE"""),146)</f>
        <v>146</v>
      </c>
      <c r="I9" s="137">
        <f ca="1">IFERROR(__xludf.DUMMYFUNCTION("""COMPUTED_VALUE"""),62)</f>
        <v>62</v>
      </c>
      <c r="J9" s="137">
        <f ca="1">IFERROR(__xludf.DUMMYFUNCTION("""COMPUTED_VALUE"""),3)</f>
        <v>3</v>
      </c>
      <c r="K9" s="138">
        <f ca="1">IFERROR(__xludf.DUMMYFUNCTION("""COMPUTED_VALUE"""),208)</f>
        <v>208</v>
      </c>
      <c r="L9" s="137">
        <f ca="1">IFERROR(__xludf.DUMMYFUNCTION("""COMPUTED_VALUE"""),302)</f>
        <v>302</v>
      </c>
      <c r="M9" s="137">
        <f ca="1">IFERROR(__xludf.DUMMYFUNCTION("""COMPUTED_VALUE"""),140)</f>
        <v>140</v>
      </c>
      <c r="N9" s="137">
        <f ca="1">IFERROR(__xludf.DUMMYFUNCTION("""COMPUTED_VALUE"""),6)</f>
        <v>6</v>
      </c>
      <c r="O9" s="138">
        <f ca="1">IFERROR(__xludf.DUMMYFUNCTION("""COMPUTED_VALUE"""),442)</f>
        <v>442</v>
      </c>
      <c r="P9" s="139">
        <f ca="1">IFERROR(__xludf.DUMMYFUNCTION("""COMPUTED_VALUE"""),881)</f>
        <v>881</v>
      </c>
      <c r="Q9" s="165"/>
      <c r="R9" s="159"/>
      <c r="S9" s="159"/>
      <c r="T9" s="140">
        <f ca="1">IFERROR(__xludf.DUMMYFUNCTION("""COMPUTED_VALUE"""),291)</f>
        <v>291</v>
      </c>
      <c r="U9" s="140">
        <f ca="1">IFERROR(__xludf.DUMMYFUNCTION("""COMPUTED_VALUE"""),8)</f>
        <v>8</v>
      </c>
      <c r="V9" s="159"/>
      <c r="W9" s="141" t="str">
        <f ca="1">IFERROR(__xludf.DUMMYFUNCTION("""COMPUTED_VALUE"""),"TV")</f>
        <v>TV</v>
      </c>
      <c r="X9" s="141"/>
      <c r="Y9" s="141" t="str">
        <f ca="1">IFERROR(__xludf.DUMMYFUNCTION("""COMPUTED_VALUE"""),"R")</f>
        <v>R</v>
      </c>
      <c r="Z9" s="141"/>
      <c r="AA9" s="8" t="str">
        <f ca="1">IFERROR(__xludf.DUMMYFUNCTION("""COMPUTED_VALUE"""),"S")</f>
        <v>S</v>
      </c>
    </row>
    <row r="10" spans="1:27" ht="12.75" x14ac:dyDescent="0.2">
      <c r="A10" s="172">
        <v>5</v>
      </c>
      <c r="B10" s="127" t="str">
        <f ca="1">IFERROR(__xludf.DUMMYFUNCTION("""COMPUTED_VALUE"""),"Uhlíř Karel")</f>
        <v>Uhlíř Karel</v>
      </c>
      <c r="C10" s="128" t="str">
        <f ca="1">IFERROR(__xludf.DUMMYFUNCTION("""COMPUTED_VALUE"""),"TJ Třebíč")</f>
        <v>TJ Třebíč</v>
      </c>
      <c r="D10" s="129">
        <f ca="1">IFERROR(__xludf.DUMMYFUNCTION("""COMPUTED_VALUE"""),146)</f>
        <v>146</v>
      </c>
      <c r="E10" s="130">
        <f ca="1">IFERROR(__xludf.DUMMYFUNCTION("""COMPUTED_VALUE"""),62)</f>
        <v>62</v>
      </c>
      <c r="F10" s="130">
        <f ca="1">IFERROR(__xludf.DUMMYFUNCTION("""COMPUTED_VALUE"""),4)</f>
        <v>4</v>
      </c>
      <c r="G10" s="131">
        <f ca="1">IFERROR(__xludf.DUMMYFUNCTION("""COMPUTED_VALUE"""),208)</f>
        <v>208</v>
      </c>
      <c r="H10" s="129">
        <f ca="1">IFERROR(__xludf.DUMMYFUNCTION("""COMPUTED_VALUE"""),160)</f>
        <v>160</v>
      </c>
      <c r="I10" s="130">
        <f ca="1">IFERROR(__xludf.DUMMYFUNCTION("""COMPUTED_VALUE"""),75)</f>
        <v>75</v>
      </c>
      <c r="J10" s="130">
        <f ca="1">IFERROR(__xludf.DUMMYFUNCTION("""COMPUTED_VALUE"""),0)</f>
        <v>0</v>
      </c>
      <c r="K10" s="131">
        <f ca="1">IFERROR(__xludf.DUMMYFUNCTION("""COMPUTED_VALUE"""),235)</f>
        <v>235</v>
      </c>
      <c r="L10" s="130">
        <f ca="1">IFERROR(__xludf.DUMMYFUNCTION("""COMPUTED_VALUE"""),306)</f>
        <v>306</v>
      </c>
      <c r="M10" s="130">
        <f ca="1">IFERROR(__xludf.DUMMYFUNCTION("""COMPUTED_VALUE"""),137)</f>
        <v>137</v>
      </c>
      <c r="N10" s="130">
        <f ca="1">IFERROR(__xludf.DUMMYFUNCTION("""COMPUTED_VALUE"""),4)</f>
        <v>4</v>
      </c>
      <c r="O10" s="131">
        <f ca="1">IFERROR(__xludf.DUMMYFUNCTION("""COMPUTED_VALUE"""),443)</f>
        <v>443</v>
      </c>
      <c r="P10" s="132">
        <f ca="1">IFERROR(__xludf.DUMMYFUNCTION("""COMPUTED_VALUE"""),879)</f>
        <v>879</v>
      </c>
      <c r="Q10" s="173">
        <f ca="1">IFERROR(__xludf.DUMMYFUNCTION("""COMPUTED_VALUE"""),879)</f>
        <v>879</v>
      </c>
      <c r="R10" s="174">
        <f ca="1">IFERROR(__xludf.DUMMYFUNCTION("""COMPUTED_VALUE"""),290)</f>
        <v>290</v>
      </c>
      <c r="S10" s="174">
        <f ca="1">IFERROR(__xludf.DUMMYFUNCTION("""COMPUTED_VALUE"""),5)</f>
        <v>5</v>
      </c>
      <c r="T10" s="133">
        <f ca="1">IFERROR(__xludf.DUMMYFUNCTION("""COMPUTED_VALUE"""),290)</f>
        <v>290</v>
      </c>
      <c r="U10" s="133">
        <f ca="1">IFERROR(__xludf.DUMMYFUNCTION("""COMPUTED_VALUE"""),5)</f>
        <v>5</v>
      </c>
      <c r="V10" s="175" t="str">
        <f ca="1">IFERROR(__xludf.DUMMYFUNCTION("""COMPUTED_VALUE"""),"TV")</f>
        <v>TV</v>
      </c>
      <c r="W10" s="8" t="str">
        <f ca="1">IFERROR(__xludf.DUMMYFUNCTION("""COMPUTED_VALUE"""),"TV")</f>
        <v>TV</v>
      </c>
      <c r="X10" s="8" t="str">
        <f ca="1">IFERROR(__xludf.DUMMYFUNCTION("""COMPUTED_VALUE"""),"R")</f>
        <v>R</v>
      </c>
      <c r="Y10" s="8" t="str">
        <f ca="1">IFERROR(__xludf.DUMMYFUNCTION("""COMPUTED_VALUE"""),"R")</f>
        <v>R</v>
      </c>
      <c r="Z10" s="8" t="str">
        <f ca="1">IFERROR(__xludf.DUMMYFUNCTION("""COMPUTED_VALUE"""),"M")</f>
        <v>M</v>
      </c>
      <c r="AA10" s="8" t="str">
        <f ca="1">IFERROR(__xludf.DUMMYFUNCTION("""COMPUTED_VALUE"""),"M")</f>
        <v>M</v>
      </c>
    </row>
    <row r="11" spans="1:27" ht="12.75" x14ac:dyDescent="0.2">
      <c r="A11" s="165"/>
      <c r="B11" s="134" t="str">
        <f ca="1">IFERROR(__xludf.DUMMYFUNCTION("""COMPUTED_VALUE"""),"Tenkl Jaroslav")</f>
        <v>Tenkl Jaroslav</v>
      </c>
      <c r="C11" s="135" t="str">
        <f ca="1">IFERROR(__xludf.DUMMYFUNCTION("""COMPUTED_VALUE"""),"TJ Třebíč")</f>
        <v>TJ Třebíč</v>
      </c>
      <c r="D11" s="136">
        <f ca="1">IFERROR(__xludf.DUMMYFUNCTION("""COMPUTED_VALUE"""),146)</f>
        <v>146</v>
      </c>
      <c r="E11" s="137">
        <f ca="1">IFERROR(__xludf.DUMMYFUNCTION("""COMPUTED_VALUE"""),72)</f>
        <v>72</v>
      </c>
      <c r="F11" s="137">
        <f ca="1">IFERROR(__xludf.DUMMYFUNCTION("""COMPUTED_VALUE"""),0)</f>
        <v>0</v>
      </c>
      <c r="G11" s="138">
        <f ca="1">IFERROR(__xludf.DUMMYFUNCTION("""COMPUTED_VALUE"""),218)</f>
        <v>218</v>
      </c>
      <c r="H11" s="136">
        <f ca="1">IFERROR(__xludf.DUMMYFUNCTION("""COMPUTED_VALUE"""),137)</f>
        <v>137</v>
      </c>
      <c r="I11" s="137">
        <f ca="1">IFERROR(__xludf.DUMMYFUNCTION("""COMPUTED_VALUE"""),81)</f>
        <v>81</v>
      </c>
      <c r="J11" s="137">
        <f ca="1">IFERROR(__xludf.DUMMYFUNCTION("""COMPUTED_VALUE"""),1)</f>
        <v>1</v>
      </c>
      <c r="K11" s="138">
        <f ca="1">IFERROR(__xludf.DUMMYFUNCTION("""COMPUTED_VALUE"""),218)</f>
        <v>218</v>
      </c>
      <c r="L11" s="137">
        <f ca="1">IFERROR(__xludf.DUMMYFUNCTION("""COMPUTED_VALUE"""),283)</f>
        <v>283</v>
      </c>
      <c r="M11" s="137">
        <f ca="1">IFERROR(__xludf.DUMMYFUNCTION("""COMPUTED_VALUE"""),153)</f>
        <v>153</v>
      </c>
      <c r="N11" s="137">
        <f ca="1">IFERROR(__xludf.DUMMYFUNCTION("""COMPUTED_VALUE"""),1)</f>
        <v>1</v>
      </c>
      <c r="O11" s="138">
        <f ca="1">IFERROR(__xludf.DUMMYFUNCTION("""COMPUTED_VALUE"""),436)</f>
        <v>436</v>
      </c>
      <c r="P11" s="139">
        <f ca="1">IFERROR(__xludf.DUMMYFUNCTION("""COMPUTED_VALUE"""),879)</f>
        <v>879</v>
      </c>
      <c r="Q11" s="165"/>
      <c r="R11" s="159"/>
      <c r="S11" s="159"/>
      <c r="T11" s="140">
        <f ca="1">IFERROR(__xludf.DUMMYFUNCTION("""COMPUTED_VALUE"""),290)</f>
        <v>290</v>
      </c>
      <c r="U11" s="140">
        <f ca="1">IFERROR(__xludf.DUMMYFUNCTION("""COMPUTED_VALUE"""),5)</f>
        <v>5</v>
      </c>
      <c r="V11" s="159"/>
      <c r="W11" s="141" t="str">
        <f ca="1">IFERROR(__xludf.DUMMYFUNCTION("""COMPUTED_VALUE"""),"TV")</f>
        <v>TV</v>
      </c>
      <c r="X11" s="141"/>
      <c r="Y11" s="141" t="str">
        <f ca="1">IFERROR(__xludf.DUMMYFUNCTION("""COMPUTED_VALUE"""),"R")</f>
        <v>R</v>
      </c>
      <c r="Z11" s="141"/>
      <c r="AA11" s="8" t="str">
        <f ca="1">IFERROR(__xludf.DUMMYFUNCTION("""COMPUTED_VALUE"""),"M")</f>
        <v>M</v>
      </c>
    </row>
    <row r="12" spans="1:27" ht="12.75" x14ac:dyDescent="0.2">
      <c r="A12" s="172">
        <v>6</v>
      </c>
      <c r="B12" s="127" t="str">
        <f ca="1">IFERROR(__xludf.DUMMYFUNCTION("""COMPUTED_VALUE"""),"Jelínek David")</f>
        <v>Jelínek David</v>
      </c>
      <c r="C12" s="128" t="str">
        <f ca="1">IFERROR(__xludf.DUMMYFUNCTION("""COMPUTED_VALUE"""),"KK Slavoj Žirovnice")</f>
        <v>KK Slavoj Žirovnice</v>
      </c>
      <c r="D12" s="129">
        <f ca="1">IFERROR(__xludf.DUMMYFUNCTION("""COMPUTED_VALUE"""),153)</f>
        <v>153</v>
      </c>
      <c r="E12" s="130">
        <f ca="1">IFERROR(__xludf.DUMMYFUNCTION("""COMPUTED_VALUE"""),70)</f>
        <v>70</v>
      </c>
      <c r="F12" s="130">
        <f ca="1">IFERROR(__xludf.DUMMYFUNCTION("""COMPUTED_VALUE"""),2)</f>
        <v>2</v>
      </c>
      <c r="G12" s="131">
        <f ca="1">IFERROR(__xludf.DUMMYFUNCTION("""COMPUTED_VALUE"""),223)</f>
        <v>223</v>
      </c>
      <c r="H12" s="129">
        <f ca="1">IFERROR(__xludf.DUMMYFUNCTION("""COMPUTED_VALUE"""),144)</f>
        <v>144</v>
      </c>
      <c r="I12" s="130">
        <f ca="1">IFERROR(__xludf.DUMMYFUNCTION("""COMPUTED_VALUE"""),62)</f>
        <v>62</v>
      </c>
      <c r="J12" s="130">
        <f ca="1">IFERROR(__xludf.DUMMYFUNCTION("""COMPUTED_VALUE"""),3)</f>
        <v>3</v>
      </c>
      <c r="K12" s="131">
        <f ca="1">IFERROR(__xludf.DUMMYFUNCTION("""COMPUTED_VALUE"""),206)</f>
        <v>206</v>
      </c>
      <c r="L12" s="130">
        <f ca="1">IFERROR(__xludf.DUMMYFUNCTION("""COMPUTED_VALUE"""),297)</f>
        <v>297</v>
      </c>
      <c r="M12" s="130">
        <f ca="1">IFERROR(__xludf.DUMMYFUNCTION("""COMPUTED_VALUE"""),132)</f>
        <v>132</v>
      </c>
      <c r="N12" s="130">
        <f ca="1">IFERROR(__xludf.DUMMYFUNCTION("""COMPUTED_VALUE"""),5)</f>
        <v>5</v>
      </c>
      <c r="O12" s="131">
        <f ca="1">IFERROR(__xludf.DUMMYFUNCTION("""COMPUTED_VALUE"""),429)</f>
        <v>429</v>
      </c>
      <c r="P12" s="132">
        <f ca="1">IFERROR(__xludf.DUMMYFUNCTION("""COMPUTED_VALUE"""),873)</f>
        <v>873</v>
      </c>
      <c r="Q12" s="173">
        <f ca="1">IFERROR(__xludf.DUMMYFUNCTION("""COMPUTED_VALUE"""),873)</f>
        <v>873</v>
      </c>
      <c r="R12" s="174">
        <f ca="1">IFERROR(__xludf.DUMMYFUNCTION("""COMPUTED_VALUE"""),291)</f>
        <v>291</v>
      </c>
      <c r="S12" s="174">
        <f ca="1">IFERROR(__xludf.DUMMYFUNCTION("""COMPUTED_VALUE"""),8)</f>
        <v>8</v>
      </c>
      <c r="T12" s="133">
        <f ca="1">IFERROR(__xludf.DUMMYFUNCTION("""COMPUTED_VALUE"""),291)</f>
        <v>291</v>
      </c>
      <c r="U12" s="133">
        <f ca="1">IFERROR(__xludf.DUMMYFUNCTION("""COMPUTED_VALUE"""),8)</f>
        <v>8</v>
      </c>
      <c r="V12" s="175" t="str">
        <f ca="1">IFERROR(__xludf.DUMMYFUNCTION("""COMPUTED_VALUE"""),"TV")</f>
        <v>TV</v>
      </c>
      <c r="W12" s="8" t="str">
        <f ca="1">IFERROR(__xludf.DUMMYFUNCTION("""COMPUTED_VALUE"""),"TV")</f>
        <v>TV</v>
      </c>
      <c r="X12" s="8" t="str">
        <f ca="1">IFERROR(__xludf.DUMMYFUNCTION("""COMPUTED_VALUE"""),"R")</f>
        <v>R</v>
      </c>
      <c r="Y12" s="8" t="str">
        <f ca="1">IFERROR(__xludf.DUMMYFUNCTION("""COMPUTED_VALUE"""),"R")</f>
        <v>R</v>
      </c>
      <c r="Z12" s="8" t="str">
        <f ca="1">IFERROR(__xludf.DUMMYFUNCTION("""COMPUTED_VALUE"""),"M")</f>
        <v>M</v>
      </c>
      <c r="AA12" s="8" t="str">
        <f ca="1">IFERROR(__xludf.DUMMYFUNCTION("""COMPUTED_VALUE"""),"M")</f>
        <v>M</v>
      </c>
    </row>
    <row r="13" spans="1:27" ht="12.75" x14ac:dyDescent="0.2">
      <c r="A13" s="165"/>
      <c r="B13" s="134" t="str">
        <f ca="1">IFERROR(__xludf.DUMMYFUNCTION("""COMPUTED_VALUE"""),"Kočovský Libor")</f>
        <v>Kočovský Libor</v>
      </c>
      <c r="C13" s="135" t="str">
        <f ca="1">IFERROR(__xludf.DUMMYFUNCTION("""COMPUTED_VALUE"""),"KK Slavoj Žirovnice")</f>
        <v>KK Slavoj Žirovnice</v>
      </c>
      <c r="D13" s="136">
        <f ca="1">IFERROR(__xludf.DUMMYFUNCTION("""COMPUTED_VALUE"""),136)</f>
        <v>136</v>
      </c>
      <c r="E13" s="137">
        <f ca="1">IFERROR(__xludf.DUMMYFUNCTION("""COMPUTED_VALUE"""),71)</f>
        <v>71</v>
      </c>
      <c r="F13" s="137">
        <f ca="1">IFERROR(__xludf.DUMMYFUNCTION("""COMPUTED_VALUE"""),2)</f>
        <v>2</v>
      </c>
      <c r="G13" s="138">
        <f ca="1">IFERROR(__xludf.DUMMYFUNCTION("""COMPUTED_VALUE"""),207)</f>
        <v>207</v>
      </c>
      <c r="H13" s="136">
        <f ca="1">IFERROR(__xludf.DUMMYFUNCTION("""COMPUTED_VALUE"""),149)</f>
        <v>149</v>
      </c>
      <c r="I13" s="137">
        <f ca="1">IFERROR(__xludf.DUMMYFUNCTION("""COMPUTED_VALUE"""),88)</f>
        <v>88</v>
      </c>
      <c r="J13" s="137">
        <f ca="1">IFERROR(__xludf.DUMMYFUNCTION("""COMPUTED_VALUE"""),1)</f>
        <v>1</v>
      </c>
      <c r="K13" s="138">
        <f ca="1">IFERROR(__xludf.DUMMYFUNCTION("""COMPUTED_VALUE"""),237)</f>
        <v>237</v>
      </c>
      <c r="L13" s="137">
        <f ca="1">IFERROR(__xludf.DUMMYFUNCTION("""COMPUTED_VALUE"""),285)</f>
        <v>285</v>
      </c>
      <c r="M13" s="137">
        <f ca="1">IFERROR(__xludf.DUMMYFUNCTION("""COMPUTED_VALUE"""),159)</f>
        <v>159</v>
      </c>
      <c r="N13" s="137">
        <f ca="1">IFERROR(__xludf.DUMMYFUNCTION("""COMPUTED_VALUE"""),3)</f>
        <v>3</v>
      </c>
      <c r="O13" s="138">
        <f ca="1">IFERROR(__xludf.DUMMYFUNCTION("""COMPUTED_VALUE"""),444)</f>
        <v>444</v>
      </c>
      <c r="P13" s="139">
        <f ca="1">IFERROR(__xludf.DUMMYFUNCTION("""COMPUTED_VALUE"""),873)</f>
        <v>873</v>
      </c>
      <c r="Q13" s="165"/>
      <c r="R13" s="159"/>
      <c r="S13" s="159"/>
      <c r="T13" s="140">
        <f ca="1">IFERROR(__xludf.DUMMYFUNCTION("""COMPUTED_VALUE"""),291)</f>
        <v>291</v>
      </c>
      <c r="U13" s="140">
        <f ca="1">IFERROR(__xludf.DUMMYFUNCTION("""COMPUTED_VALUE"""),8)</f>
        <v>8</v>
      </c>
      <c r="V13" s="159"/>
      <c r="W13" s="141" t="str">
        <f ca="1">IFERROR(__xludf.DUMMYFUNCTION("""COMPUTED_VALUE"""),"TV")</f>
        <v>TV</v>
      </c>
      <c r="X13" s="141"/>
      <c r="Y13" s="141" t="str">
        <f ca="1">IFERROR(__xludf.DUMMYFUNCTION("""COMPUTED_VALUE"""),"R")</f>
        <v>R</v>
      </c>
      <c r="Z13" s="141"/>
      <c r="AA13" s="8" t="str">
        <f ca="1">IFERROR(__xludf.DUMMYFUNCTION("""COMPUTED_VALUE"""),"M")</f>
        <v>M</v>
      </c>
    </row>
    <row r="14" spans="1:27" ht="12.75" x14ac:dyDescent="0.2">
      <c r="A14" s="172">
        <v>7</v>
      </c>
      <c r="B14" s="127" t="str">
        <f ca="1">IFERROR(__xludf.DUMMYFUNCTION("""COMPUTED_VALUE"""),"Kouhout Pavel")</f>
        <v>Kouhout Pavel</v>
      </c>
      <c r="C14" s="128" t="str">
        <f ca="1">IFERROR(__xludf.DUMMYFUNCTION("""COMPUTED_VALUE"""),"TJ Třebíč")</f>
        <v>TJ Třebíč</v>
      </c>
      <c r="D14" s="129">
        <f ca="1">IFERROR(__xludf.DUMMYFUNCTION("""COMPUTED_VALUE"""),147)</f>
        <v>147</v>
      </c>
      <c r="E14" s="130">
        <f ca="1">IFERROR(__xludf.DUMMYFUNCTION("""COMPUTED_VALUE"""),69)</f>
        <v>69</v>
      </c>
      <c r="F14" s="130">
        <f ca="1">IFERROR(__xludf.DUMMYFUNCTION("""COMPUTED_VALUE"""),3)</f>
        <v>3</v>
      </c>
      <c r="G14" s="131">
        <f ca="1">IFERROR(__xludf.DUMMYFUNCTION("""COMPUTED_VALUE"""),216)</f>
        <v>216</v>
      </c>
      <c r="H14" s="129">
        <f ca="1">IFERROR(__xludf.DUMMYFUNCTION("""COMPUTED_VALUE"""),153)</f>
        <v>153</v>
      </c>
      <c r="I14" s="130">
        <f ca="1">IFERROR(__xludf.DUMMYFUNCTION("""COMPUTED_VALUE"""),72)</f>
        <v>72</v>
      </c>
      <c r="J14" s="130">
        <f ca="1">IFERROR(__xludf.DUMMYFUNCTION("""COMPUTED_VALUE"""),2)</f>
        <v>2</v>
      </c>
      <c r="K14" s="131">
        <f ca="1">IFERROR(__xludf.DUMMYFUNCTION("""COMPUTED_VALUE"""),225)</f>
        <v>225</v>
      </c>
      <c r="L14" s="130">
        <f ca="1">IFERROR(__xludf.DUMMYFUNCTION("""COMPUTED_VALUE"""),300)</f>
        <v>300</v>
      </c>
      <c r="M14" s="130">
        <f ca="1">IFERROR(__xludf.DUMMYFUNCTION("""COMPUTED_VALUE"""),141)</f>
        <v>141</v>
      </c>
      <c r="N14" s="130">
        <f ca="1">IFERROR(__xludf.DUMMYFUNCTION("""COMPUTED_VALUE"""),5)</f>
        <v>5</v>
      </c>
      <c r="O14" s="131">
        <f ca="1">IFERROR(__xludf.DUMMYFUNCTION("""COMPUTED_VALUE"""),441)</f>
        <v>441</v>
      </c>
      <c r="P14" s="132">
        <f ca="1">IFERROR(__xludf.DUMMYFUNCTION("""COMPUTED_VALUE"""),845)</f>
        <v>845</v>
      </c>
      <c r="Q14" s="173">
        <f ca="1">IFERROR(__xludf.DUMMYFUNCTION("""COMPUTED_VALUE"""),845)</f>
        <v>845</v>
      </c>
      <c r="R14" s="174">
        <f ca="1">IFERROR(__xludf.DUMMYFUNCTION("""COMPUTED_VALUE"""),272)</f>
        <v>272</v>
      </c>
      <c r="S14" s="174">
        <f ca="1">IFERROR(__xludf.DUMMYFUNCTION("""COMPUTED_VALUE"""),11)</f>
        <v>11</v>
      </c>
      <c r="T14" s="133">
        <f ca="1">IFERROR(__xludf.DUMMYFUNCTION("""COMPUTED_VALUE"""),272)</f>
        <v>272</v>
      </c>
      <c r="U14" s="133">
        <f ca="1">IFERROR(__xludf.DUMMYFUNCTION("""COMPUTED_VALUE"""),11)</f>
        <v>11</v>
      </c>
      <c r="V14" s="175" t="str">
        <f ca="1">IFERROR(__xludf.DUMMYFUNCTION("""COMPUTED_VALUE"""),"TV")</f>
        <v>TV</v>
      </c>
      <c r="W14" s="8" t="str">
        <f ca="1">IFERROR(__xludf.DUMMYFUNCTION("""COMPUTED_VALUE"""),"TV")</f>
        <v>TV</v>
      </c>
      <c r="X14" s="8" t="str">
        <f ca="1">IFERROR(__xludf.DUMMYFUNCTION("""COMPUTED_VALUE"""),"R")</f>
        <v>R</v>
      </c>
      <c r="Y14" s="8" t="str">
        <f ca="1">IFERROR(__xludf.DUMMYFUNCTION("""COMPUTED_VALUE"""),"R")</f>
        <v>R</v>
      </c>
      <c r="Z14" s="8" t="str">
        <f ca="1">IFERROR(__xludf.DUMMYFUNCTION("""COMPUTED_VALUE"""),"M")</f>
        <v>M</v>
      </c>
      <c r="AA14" s="8" t="str">
        <f ca="1">IFERROR(__xludf.DUMMYFUNCTION("""COMPUTED_VALUE"""),"M")</f>
        <v>M</v>
      </c>
    </row>
    <row r="15" spans="1:27" ht="12.75" x14ac:dyDescent="0.2">
      <c r="A15" s="165"/>
      <c r="B15" s="134" t="str">
        <f ca="1">IFERROR(__xludf.DUMMYFUNCTION("""COMPUTED_VALUE"""),"Horák Lubomír")</f>
        <v>Horák Lubomír</v>
      </c>
      <c r="C15" s="135" t="str">
        <f ca="1">IFERROR(__xludf.DUMMYFUNCTION("""COMPUTED_VALUE"""),"TJ Třebíč")</f>
        <v>TJ Třebíč</v>
      </c>
      <c r="D15" s="136">
        <f ca="1">IFERROR(__xludf.DUMMYFUNCTION("""COMPUTED_VALUE"""),134)</f>
        <v>134</v>
      </c>
      <c r="E15" s="137">
        <f ca="1">IFERROR(__xludf.DUMMYFUNCTION("""COMPUTED_VALUE"""),61)</f>
        <v>61</v>
      </c>
      <c r="F15" s="137">
        <f ca="1">IFERROR(__xludf.DUMMYFUNCTION("""COMPUTED_VALUE"""),5)</f>
        <v>5</v>
      </c>
      <c r="G15" s="138">
        <f ca="1">IFERROR(__xludf.DUMMYFUNCTION("""COMPUTED_VALUE"""),195)</f>
        <v>195</v>
      </c>
      <c r="H15" s="136">
        <f ca="1">IFERROR(__xludf.DUMMYFUNCTION("""COMPUTED_VALUE"""),139)</f>
        <v>139</v>
      </c>
      <c r="I15" s="137">
        <f ca="1">IFERROR(__xludf.DUMMYFUNCTION("""COMPUTED_VALUE"""),70)</f>
        <v>70</v>
      </c>
      <c r="J15" s="137">
        <f ca="1">IFERROR(__xludf.DUMMYFUNCTION("""COMPUTED_VALUE"""),1)</f>
        <v>1</v>
      </c>
      <c r="K15" s="138">
        <f ca="1">IFERROR(__xludf.DUMMYFUNCTION("""COMPUTED_VALUE"""),209)</f>
        <v>209</v>
      </c>
      <c r="L15" s="137">
        <f ca="1">IFERROR(__xludf.DUMMYFUNCTION("""COMPUTED_VALUE"""),273)</f>
        <v>273</v>
      </c>
      <c r="M15" s="137">
        <f ca="1">IFERROR(__xludf.DUMMYFUNCTION("""COMPUTED_VALUE"""),131)</f>
        <v>131</v>
      </c>
      <c r="N15" s="137">
        <f ca="1">IFERROR(__xludf.DUMMYFUNCTION("""COMPUTED_VALUE"""),6)</f>
        <v>6</v>
      </c>
      <c r="O15" s="138">
        <f ca="1">IFERROR(__xludf.DUMMYFUNCTION("""COMPUTED_VALUE"""),404)</f>
        <v>404</v>
      </c>
      <c r="P15" s="139">
        <f ca="1">IFERROR(__xludf.DUMMYFUNCTION("""COMPUTED_VALUE"""),845)</f>
        <v>845</v>
      </c>
      <c r="Q15" s="165"/>
      <c r="R15" s="159"/>
      <c r="S15" s="159"/>
      <c r="T15" s="140">
        <f ca="1">IFERROR(__xludf.DUMMYFUNCTION("""COMPUTED_VALUE"""),272)</f>
        <v>272</v>
      </c>
      <c r="U15" s="140">
        <f ca="1">IFERROR(__xludf.DUMMYFUNCTION("""COMPUTED_VALUE"""),11)</f>
        <v>11</v>
      </c>
      <c r="V15" s="159"/>
      <c r="W15" s="141" t="str">
        <f ca="1">IFERROR(__xludf.DUMMYFUNCTION("""COMPUTED_VALUE"""),"TV")</f>
        <v>TV</v>
      </c>
      <c r="X15" s="141"/>
      <c r="Y15" s="141" t="str">
        <f ca="1">IFERROR(__xludf.DUMMYFUNCTION("""COMPUTED_VALUE"""),"R")</f>
        <v>R</v>
      </c>
      <c r="Z15" s="141"/>
      <c r="AA15" s="8" t="str">
        <f ca="1">IFERROR(__xludf.DUMMYFUNCTION("""COMPUTED_VALUE"""),"M")</f>
        <v>M</v>
      </c>
    </row>
    <row r="16" spans="1:27" ht="12.75" x14ac:dyDescent="0.2">
      <c r="A16" s="172">
        <v>8</v>
      </c>
      <c r="B16" s="127" t="str">
        <f ca="1">IFERROR(__xludf.DUMMYFUNCTION("""COMPUTED_VALUE"""),"Škoda Pavel")</f>
        <v>Škoda Pavel</v>
      </c>
      <c r="C16" s="128" t="str">
        <f ca="1">IFERROR(__xludf.DUMMYFUNCTION("""COMPUTED_VALUE"""),"Nové Město na Moravě")</f>
        <v>Nové Město na Moravě</v>
      </c>
      <c r="D16" s="129">
        <f ca="1">IFERROR(__xludf.DUMMYFUNCTION("""COMPUTED_VALUE"""),143)</f>
        <v>143</v>
      </c>
      <c r="E16" s="130">
        <f ca="1">IFERROR(__xludf.DUMMYFUNCTION("""COMPUTED_VALUE"""),62)</f>
        <v>62</v>
      </c>
      <c r="F16" s="130">
        <f ca="1">IFERROR(__xludf.DUMMYFUNCTION("""COMPUTED_VALUE"""),2)</f>
        <v>2</v>
      </c>
      <c r="G16" s="131">
        <f ca="1">IFERROR(__xludf.DUMMYFUNCTION("""COMPUTED_VALUE"""),205)</f>
        <v>205</v>
      </c>
      <c r="H16" s="129">
        <f ca="1">IFERROR(__xludf.DUMMYFUNCTION("""COMPUTED_VALUE"""),142)</f>
        <v>142</v>
      </c>
      <c r="I16" s="130">
        <f ca="1">IFERROR(__xludf.DUMMYFUNCTION("""COMPUTED_VALUE"""),79)</f>
        <v>79</v>
      </c>
      <c r="J16" s="130">
        <f ca="1">IFERROR(__xludf.DUMMYFUNCTION("""COMPUTED_VALUE"""),0)</f>
        <v>0</v>
      </c>
      <c r="K16" s="131">
        <f ca="1">IFERROR(__xludf.DUMMYFUNCTION("""COMPUTED_VALUE"""),221)</f>
        <v>221</v>
      </c>
      <c r="L16" s="130">
        <f ca="1">IFERROR(__xludf.DUMMYFUNCTION("""COMPUTED_VALUE"""),285)</f>
        <v>285</v>
      </c>
      <c r="M16" s="130">
        <f ca="1">IFERROR(__xludf.DUMMYFUNCTION("""COMPUTED_VALUE"""),141)</f>
        <v>141</v>
      </c>
      <c r="N16" s="130">
        <f ca="1">IFERROR(__xludf.DUMMYFUNCTION("""COMPUTED_VALUE"""),2)</f>
        <v>2</v>
      </c>
      <c r="O16" s="131">
        <f ca="1">IFERROR(__xludf.DUMMYFUNCTION("""COMPUTED_VALUE"""),426)</f>
        <v>426</v>
      </c>
      <c r="P16" s="132">
        <f ca="1">IFERROR(__xludf.DUMMYFUNCTION("""COMPUTED_VALUE"""),835)</f>
        <v>835</v>
      </c>
      <c r="Q16" s="173">
        <f ca="1">IFERROR(__xludf.DUMMYFUNCTION("""COMPUTED_VALUE"""),835)</f>
        <v>835</v>
      </c>
      <c r="R16" s="174">
        <f ca="1">IFERROR(__xludf.DUMMYFUNCTION("""COMPUTED_VALUE"""),248)</f>
        <v>248</v>
      </c>
      <c r="S16" s="174">
        <f ca="1">IFERROR(__xludf.DUMMYFUNCTION("""COMPUTED_VALUE"""),12)</f>
        <v>12</v>
      </c>
      <c r="T16" s="133">
        <f ca="1">IFERROR(__xludf.DUMMYFUNCTION("""COMPUTED_VALUE"""),248)</f>
        <v>248</v>
      </c>
      <c r="U16" s="133">
        <f ca="1">IFERROR(__xludf.DUMMYFUNCTION("""COMPUTED_VALUE"""),12)</f>
        <v>12</v>
      </c>
      <c r="V16" s="175" t="str">
        <f ca="1">IFERROR(__xludf.DUMMYFUNCTION("""COMPUTED_VALUE"""),"TV")</f>
        <v>TV</v>
      </c>
      <c r="W16" s="8" t="str">
        <f ca="1">IFERROR(__xludf.DUMMYFUNCTION("""COMPUTED_VALUE"""),"TV")</f>
        <v>TV</v>
      </c>
      <c r="X16" s="8" t="str">
        <f ca="1">IFERROR(__xludf.DUMMYFUNCTION("""COMPUTED_VALUE"""),"R")</f>
        <v>R</v>
      </c>
      <c r="Y16" s="8" t="str">
        <f ca="1">IFERROR(__xludf.DUMMYFUNCTION("""COMPUTED_VALUE"""),"R")</f>
        <v>R</v>
      </c>
      <c r="Z16" s="8" t="str">
        <f ca="1">IFERROR(__xludf.DUMMYFUNCTION("""COMPUTED_VALUE"""),"M")</f>
        <v>M</v>
      </c>
      <c r="AA16" s="8" t="str">
        <f ca="1">IFERROR(__xludf.DUMMYFUNCTION("""COMPUTED_VALUE"""),"M")</f>
        <v>M</v>
      </c>
    </row>
    <row r="17" spans="1:27" ht="12.75" x14ac:dyDescent="0.2">
      <c r="A17" s="165"/>
      <c r="B17" s="134" t="str">
        <f ca="1">IFERROR(__xludf.DUMMYFUNCTION("""COMPUTED_VALUE"""),"Hlisnikovský Karel")</f>
        <v>Hlisnikovský Karel</v>
      </c>
      <c r="C17" s="135" t="str">
        <f ca="1">IFERROR(__xludf.DUMMYFUNCTION("""COMPUTED_VALUE"""),"Nové Město na Moravě")</f>
        <v>Nové Město na Moravě</v>
      </c>
      <c r="D17" s="136">
        <f ca="1">IFERROR(__xludf.DUMMYFUNCTION("""COMPUTED_VALUE"""),156)</f>
        <v>156</v>
      </c>
      <c r="E17" s="137">
        <f ca="1">IFERROR(__xludf.DUMMYFUNCTION("""COMPUTED_VALUE"""),53)</f>
        <v>53</v>
      </c>
      <c r="F17" s="137">
        <f ca="1">IFERROR(__xludf.DUMMYFUNCTION("""COMPUTED_VALUE"""),5)</f>
        <v>5</v>
      </c>
      <c r="G17" s="138">
        <f ca="1">IFERROR(__xludf.DUMMYFUNCTION("""COMPUTED_VALUE"""),209)</f>
        <v>209</v>
      </c>
      <c r="H17" s="136">
        <f ca="1">IFERROR(__xludf.DUMMYFUNCTION("""COMPUTED_VALUE"""),146)</f>
        <v>146</v>
      </c>
      <c r="I17" s="137">
        <f ca="1">IFERROR(__xludf.DUMMYFUNCTION("""COMPUTED_VALUE"""),54)</f>
        <v>54</v>
      </c>
      <c r="J17" s="137">
        <f ca="1">IFERROR(__xludf.DUMMYFUNCTION("""COMPUTED_VALUE"""),5)</f>
        <v>5</v>
      </c>
      <c r="K17" s="138">
        <f ca="1">IFERROR(__xludf.DUMMYFUNCTION("""COMPUTED_VALUE"""),200)</f>
        <v>200</v>
      </c>
      <c r="L17" s="137">
        <f ca="1">IFERROR(__xludf.DUMMYFUNCTION("""COMPUTED_VALUE"""),302)</f>
        <v>302</v>
      </c>
      <c r="M17" s="137">
        <f ca="1">IFERROR(__xludf.DUMMYFUNCTION("""COMPUTED_VALUE"""),107)</f>
        <v>107</v>
      </c>
      <c r="N17" s="137">
        <f ca="1">IFERROR(__xludf.DUMMYFUNCTION("""COMPUTED_VALUE"""),10)</f>
        <v>10</v>
      </c>
      <c r="O17" s="138">
        <f ca="1">IFERROR(__xludf.DUMMYFUNCTION("""COMPUTED_VALUE"""),409)</f>
        <v>409</v>
      </c>
      <c r="P17" s="139">
        <f ca="1">IFERROR(__xludf.DUMMYFUNCTION("""COMPUTED_VALUE"""),835)</f>
        <v>835</v>
      </c>
      <c r="Q17" s="165"/>
      <c r="R17" s="159"/>
      <c r="S17" s="159"/>
      <c r="T17" s="140">
        <f ca="1">IFERROR(__xludf.DUMMYFUNCTION("""COMPUTED_VALUE"""),248)</f>
        <v>248</v>
      </c>
      <c r="U17" s="140">
        <f ca="1">IFERROR(__xludf.DUMMYFUNCTION("""COMPUTED_VALUE"""),12)</f>
        <v>12</v>
      </c>
      <c r="V17" s="159"/>
      <c r="W17" s="141" t="str">
        <f ca="1">IFERROR(__xludf.DUMMYFUNCTION("""COMPUTED_VALUE"""),"TV")</f>
        <v>TV</v>
      </c>
      <c r="X17" s="141"/>
      <c r="Y17" s="141" t="str">
        <f ca="1">IFERROR(__xludf.DUMMYFUNCTION("""COMPUTED_VALUE"""),"R")</f>
        <v>R</v>
      </c>
      <c r="Z17" s="141"/>
      <c r="AA17" s="8" t="str">
        <f ca="1">IFERROR(__xludf.DUMMYFUNCTION("""COMPUTED_VALUE"""),"M")</f>
        <v>M</v>
      </c>
    </row>
    <row r="18" spans="1:27" ht="12.75" x14ac:dyDescent="0.2">
      <c r="A18" s="172">
        <v>9</v>
      </c>
      <c r="B18" s="127" t="str">
        <f ca="1">IFERROR(__xludf.DUMMYFUNCTION("""COMPUTED_VALUE"""),"Zemanová Markéta")</f>
        <v>Zemanová Markéta</v>
      </c>
      <c r="C18" s="128" t="str">
        <f ca="1">IFERROR(__xludf.DUMMYFUNCTION("""COMPUTED_VALUE"""),"TJ BOPO Třebíč")</f>
        <v>TJ BOPO Třebíč</v>
      </c>
      <c r="D18" s="129">
        <f ca="1">IFERROR(__xludf.DUMMYFUNCTION("""COMPUTED_VALUE"""),145)</f>
        <v>145</v>
      </c>
      <c r="E18" s="130">
        <f ca="1">IFERROR(__xludf.DUMMYFUNCTION("""COMPUTED_VALUE"""),62)</f>
        <v>62</v>
      </c>
      <c r="F18" s="130">
        <f ca="1">IFERROR(__xludf.DUMMYFUNCTION("""COMPUTED_VALUE"""),2)</f>
        <v>2</v>
      </c>
      <c r="G18" s="131">
        <f ca="1">IFERROR(__xludf.DUMMYFUNCTION("""COMPUTED_VALUE"""),207)</f>
        <v>207</v>
      </c>
      <c r="H18" s="129">
        <f ca="1">IFERROR(__xludf.DUMMYFUNCTION("""COMPUTED_VALUE"""),147)</f>
        <v>147</v>
      </c>
      <c r="I18" s="130">
        <f ca="1">IFERROR(__xludf.DUMMYFUNCTION("""COMPUTED_VALUE"""),62)</f>
        <v>62</v>
      </c>
      <c r="J18" s="130">
        <f ca="1">IFERROR(__xludf.DUMMYFUNCTION("""COMPUTED_VALUE"""),5)</f>
        <v>5</v>
      </c>
      <c r="K18" s="131">
        <f ca="1">IFERROR(__xludf.DUMMYFUNCTION("""COMPUTED_VALUE"""),209)</f>
        <v>209</v>
      </c>
      <c r="L18" s="130">
        <f ca="1">IFERROR(__xludf.DUMMYFUNCTION("""COMPUTED_VALUE"""),292)</f>
        <v>292</v>
      </c>
      <c r="M18" s="130">
        <f ca="1">IFERROR(__xludf.DUMMYFUNCTION("""COMPUTED_VALUE"""),124)</f>
        <v>124</v>
      </c>
      <c r="N18" s="130">
        <f ca="1">IFERROR(__xludf.DUMMYFUNCTION("""COMPUTED_VALUE"""),7)</f>
        <v>7</v>
      </c>
      <c r="O18" s="131">
        <f ca="1">IFERROR(__xludf.DUMMYFUNCTION("""COMPUTED_VALUE"""),416)</f>
        <v>416</v>
      </c>
      <c r="P18" s="132">
        <f ca="1">IFERROR(__xludf.DUMMYFUNCTION("""COMPUTED_VALUE"""),833)</f>
        <v>833</v>
      </c>
      <c r="Q18" s="173">
        <f ca="1">IFERROR(__xludf.DUMMYFUNCTION("""COMPUTED_VALUE"""),833)</f>
        <v>833</v>
      </c>
      <c r="R18" s="174">
        <f ca="1">IFERROR(__xludf.DUMMYFUNCTION("""COMPUTED_VALUE"""),244)</f>
        <v>244</v>
      </c>
      <c r="S18" s="174">
        <f ca="1">IFERROR(__xludf.DUMMYFUNCTION("""COMPUTED_VALUE"""),17)</f>
        <v>17</v>
      </c>
      <c r="T18" s="133">
        <f ca="1">IFERROR(__xludf.DUMMYFUNCTION("""COMPUTED_VALUE"""),244)</f>
        <v>244</v>
      </c>
      <c r="U18" s="133">
        <f ca="1">IFERROR(__xludf.DUMMYFUNCTION("""COMPUTED_VALUE"""),17)</f>
        <v>17</v>
      </c>
      <c r="V18" s="175" t="str">
        <f ca="1">IFERROR(__xludf.DUMMYFUNCTION("""COMPUTED_VALUE"""),"TV")</f>
        <v>TV</v>
      </c>
      <c r="W18" s="8" t="str">
        <f ca="1">IFERROR(__xludf.DUMMYFUNCTION("""COMPUTED_VALUE"""),"TV")</f>
        <v>TV</v>
      </c>
      <c r="X18" s="8" t="str">
        <f ca="1">IFERROR(__xludf.DUMMYFUNCTION("""COMPUTED_VALUE"""),"R")</f>
        <v>R</v>
      </c>
      <c r="Y18" s="8" t="str">
        <f ca="1">IFERROR(__xludf.DUMMYFUNCTION("""COMPUTED_VALUE"""),"R")</f>
        <v>R</v>
      </c>
      <c r="Z18" s="8" t="str">
        <f ca="1">IFERROR(__xludf.DUMMYFUNCTION("""COMPUTED_VALUE"""),"S")</f>
        <v>S</v>
      </c>
      <c r="AA18" s="8" t="str">
        <f ca="1">IFERROR(__xludf.DUMMYFUNCTION("""COMPUTED_VALUE"""),"S")</f>
        <v>S</v>
      </c>
    </row>
    <row r="19" spans="1:27" ht="12.75" x14ac:dyDescent="0.2">
      <c r="A19" s="165"/>
      <c r="B19" s="134" t="str">
        <f ca="1">IFERROR(__xludf.DUMMYFUNCTION("""COMPUTED_VALUE"""),"Zeman Petr")</f>
        <v>Zeman Petr</v>
      </c>
      <c r="C19" s="135" t="str">
        <f ca="1">IFERROR(__xludf.DUMMYFUNCTION("""COMPUTED_VALUE"""),"TJ  BOPO Třebíč")</f>
        <v>TJ  BOPO Třebíč</v>
      </c>
      <c r="D19" s="136">
        <f ca="1">IFERROR(__xludf.DUMMYFUNCTION("""COMPUTED_VALUE"""),153)</f>
        <v>153</v>
      </c>
      <c r="E19" s="137">
        <f ca="1">IFERROR(__xludf.DUMMYFUNCTION("""COMPUTED_VALUE"""),68)</f>
        <v>68</v>
      </c>
      <c r="F19" s="137">
        <f ca="1">IFERROR(__xludf.DUMMYFUNCTION("""COMPUTED_VALUE"""),5)</f>
        <v>5</v>
      </c>
      <c r="G19" s="138">
        <f ca="1">IFERROR(__xludf.DUMMYFUNCTION("""COMPUTED_VALUE"""),221)</f>
        <v>221</v>
      </c>
      <c r="H19" s="136">
        <f ca="1">IFERROR(__xludf.DUMMYFUNCTION("""COMPUTED_VALUE"""),144)</f>
        <v>144</v>
      </c>
      <c r="I19" s="137">
        <f ca="1">IFERROR(__xludf.DUMMYFUNCTION("""COMPUTED_VALUE"""),52)</f>
        <v>52</v>
      </c>
      <c r="J19" s="137">
        <f ca="1">IFERROR(__xludf.DUMMYFUNCTION("""COMPUTED_VALUE"""),5)</f>
        <v>5</v>
      </c>
      <c r="K19" s="138">
        <f ca="1">IFERROR(__xludf.DUMMYFUNCTION("""COMPUTED_VALUE"""),196)</f>
        <v>196</v>
      </c>
      <c r="L19" s="137">
        <f ca="1">IFERROR(__xludf.DUMMYFUNCTION("""COMPUTED_VALUE"""),297)</f>
        <v>297</v>
      </c>
      <c r="M19" s="137">
        <f ca="1">IFERROR(__xludf.DUMMYFUNCTION("""COMPUTED_VALUE"""),120)</f>
        <v>120</v>
      </c>
      <c r="N19" s="137">
        <f ca="1">IFERROR(__xludf.DUMMYFUNCTION("""COMPUTED_VALUE"""),10)</f>
        <v>10</v>
      </c>
      <c r="O19" s="138">
        <f ca="1">IFERROR(__xludf.DUMMYFUNCTION("""COMPUTED_VALUE"""),417)</f>
        <v>417</v>
      </c>
      <c r="P19" s="139">
        <f ca="1">IFERROR(__xludf.DUMMYFUNCTION("""COMPUTED_VALUE"""),833)</f>
        <v>833</v>
      </c>
      <c r="Q19" s="165"/>
      <c r="R19" s="159"/>
      <c r="S19" s="159"/>
      <c r="T19" s="140">
        <f ca="1">IFERROR(__xludf.DUMMYFUNCTION("""COMPUTED_VALUE"""),244)</f>
        <v>244</v>
      </c>
      <c r="U19" s="140">
        <f ca="1">IFERROR(__xludf.DUMMYFUNCTION("""COMPUTED_VALUE"""),17)</f>
        <v>17</v>
      </c>
      <c r="V19" s="159"/>
      <c r="W19" s="141" t="str">
        <f ca="1">IFERROR(__xludf.DUMMYFUNCTION("""COMPUTED_VALUE"""),"TV")</f>
        <v>TV</v>
      </c>
      <c r="X19" s="141"/>
      <c r="Y19" s="141" t="str">
        <f ca="1">IFERROR(__xludf.DUMMYFUNCTION("""COMPUTED_VALUE"""),"R")</f>
        <v>R</v>
      </c>
      <c r="Z19" s="141"/>
      <c r="AA19" s="8" t="str">
        <f ca="1">IFERROR(__xludf.DUMMYFUNCTION("""COMPUTED_VALUE"""),"S")</f>
        <v>S</v>
      </c>
    </row>
    <row r="20" spans="1:27" ht="12.75" x14ac:dyDescent="0.2">
      <c r="A20" s="172">
        <v>10</v>
      </c>
      <c r="B20" s="127" t="str">
        <f ca="1">IFERROR(__xludf.DUMMYFUNCTION("""COMPUTED_VALUE"""),"Jindra Patrik")</f>
        <v>Jindra Patrik</v>
      </c>
      <c r="C20" s="128" t="str">
        <f ca="1">IFERROR(__xludf.DUMMYFUNCTION("""COMPUTED_VALUE"""),"Pacoši Slavonice")</f>
        <v>Pacoši Slavonice</v>
      </c>
      <c r="D20" s="129">
        <f ca="1">IFERROR(__xludf.DUMMYFUNCTION("""COMPUTED_VALUE"""),147)</f>
        <v>147</v>
      </c>
      <c r="E20" s="130">
        <f ca="1">IFERROR(__xludf.DUMMYFUNCTION("""COMPUTED_VALUE"""),70)</f>
        <v>70</v>
      </c>
      <c r="F20" s="130">
        <f ca="1">IFERROR(__xludf.DUMMYFUNCTION("""COMPUTED_VALUE"""),1)</f>
        <v>1</v>
      </c>
      <c r="G20" s="131">
        <f ca="1">IFERROR(__xludf.DUMMYFUNCTION("""COMPUTED_VALUE"""),217)</f>
        <v>217</v>
      </c>
      <c r="H20" s="129">
        <f ca="1">IFERROR(__xludf.DUMMYFUNCTION("""COMPUTED_VALUE"""),141)</f>
        <v>141</v>
      </c>
      <c r="I20" s="130">
        <f ca="1">IFERROR(__xludf.DUMMYFUNCTION("""COMPUTED_VALUE"""),62)</f>
        <v>62</v>
      </c>
      <c r="J20" s="130">
        <f ca="1">IFERROR(__xludf.DUMMYFUNCTION("""COMPUTED_VALUE"""),2)</f>
        <v>2</v>
      </c>
      <c r="K20" s="131">
        <f ca="1">IFERROR(__xludf.DUMMYFUNCTION("""COMPUTED_VALUE"""),203)</f>
        <v>203</v>
      </c>
      <c r="L20" s="130">
        <f ca="1">IFERROR(__xludf.DUMMYFUNCTION("""COMPUTED_VALUE"""),288)</f>
        <v>288</v>
      </c>
      <c r="M20" s="130">
        <f ca="1">IFERROR(__xludf.DUMMYFUNCTION("""COMPUTED_VALUE"""),132)</f>
        <v>132</v>
      </c>
      <c r="N20" s="130">
        <f ca="1">IFERROR(__xludf.DUMMYFUNCTION("""COMPUTED_VALUE"""),3)</f>
        <v>3</v>
      </c>
      <c r="O20" s="131">
        <f ca="1">IFERROR(__xludf.DUMMYFUNCTION("""COMPUTED_VALUE"""),420)</f>
        <v>420</v>
      </c>
      <c r="P20" s="132">
        <f ca="1">IFERROR(__xludf.DUMMYFUNCTION("""COMPUTED_VALUE"""),799)</f>
        <v>799</v>
      </c>
      <c r="Q20" s="173">
        <f ca="1">IFERROR(__xludf.DUMMYFUNCTION("""COMPUTED_VALUE"""),799)</f>
        <v>799</v>
      </c>
      <c r="R20" s="174">
        <f ca="1">IFERROR(__xludf.DUMMYFUNCTION("""COMPUTED_VALUE"""),248)</f>
        <v>248</v>
      </c>
      <c r="S20" s="174">
        <f ca="1">IFERROR(__xludf.DUMMYFUNCTION("""COMPUTED_VALUE"""),11)</f>
        <v>11</v>
      </c>
      <c r="T20" s="133">
        <f ca="1">IFERROR(__xludf.DUMMYFUNCTION("""COMPUTED_VALUE"""),248)</f>
        <v>248</v>
      </c>
      <c r="U20" s="133">
        <f ca="1">IFERROR(__xludf.DUMMYFUNCTION("""COMPUTED_VALUE"""),11)</f>
        <v>11</v>
      </c>
      <c r="V20" s="175" t="str">
        <f ca="1">IFERROR(__xludf.DUMMYFUNCTION("""COMPUTED_VALUE"""),"TV")</f>
        <v>TV</v>
      </c>
      <c r="W20" s="8" t="str">
        <f ca="1">IFERROR(__xludf.DUMMYFUNCTION("""COMPUTED_VALUE"""),"TV")</f>
        <v>TV</v>
      </c>
      <c r="X20" s="8" t="str">
        <f ca="1">IFERROR(__xludf.DUMMYFUNCTION("""COMPUTED_VALUE"""),"N")</f>
        <v>N</v>
      </c>
      <c r="Y20" s="8" t="str">
        <f ca="1">IFERROR(__xludf.DUMMYFUNCTION("""COMPUTED_VALUE"""),"N")</f>
        <v>N</v>
      </c>
      <c r="Z20" s="8" t="str">
        <f ca="1">IFERROR(__xludf.DUMMYFUNCTION("""COMPUTED_VALUE"""),"M")</f>
        <v>M</v>
      </c>
      <c r="AA20" s="8" t="str">
        <f ca="1">IFERROR(__xludf.DUMMYFUNCTION("""COMPUTED_VALUE"""),"M")</f>
        <v>M</v>
      </c>
    </row>
    <row r="21" spans="1:27" ht="12.75" x14ac:dyDescent="0.2">
      <c r="A21" s="165"/>
      <c r="B21" s="134" t="str">
        <f ca="1">IFERROR(__xludf.DUMMYFUNCTION("""COMPUTED_VALUE"""),"Ferdan Antonín")</f>
        <v>Ferdan Antonín</v>
      </c>
      <c r="C21" s="135" t="str">
        <f ca="1">IFERROR(__xludf.DUMMYFUNCTION("""COMPUTED_VALUE"""),"Pacoši Slavonice")</f>
        <v>Pacoši Slavonice</v>
      </c>
      <c r="D21" s="136">
        <f ca="1">IFERROR(__xludf.DUMMYFUNCTION("""COMPUTED_VALUE"""),148)</f>
        <v>148</v>
      </c>
      <c r="E21" s="137">
        <f ca="1">IFERROR(__xludf.DUMMYFUNCTION("""COMPUTED_VALUE"""),71)</f>
        <v>71</v>
      </c>
      <c r="F21" s="137">
        <f ca="1">IFERROR(__xludf.DUMMYFUNCTION("""COMPUTED_VALUE"""),3)</f>
        <v>3</v>
      </c>
      <c r="G21" s="138">
        <f ca="1">IFERROR(__xludf.DUMMYFUNCTION("""COMPUTED_VALUE"""),219)</f>
        <v>219</v>
      </c>
      <c r="H21" s="136">
        <f ca="1">IFERROR(__xludf.DUMMYFUNCTION("""COMPUTED_VALUE"""),115)</f>
        <v>115</v>
      </c>
      <c r="I21" s="137">
        <f ca="1">IFERROR(__xludf.DUMMYFUNCTION("""COMPUTED_VALUE"""),45)</f>
        <v>45</v>
      </c>
      <c r="J21" s="137">
        <f ca="1">IFERROR(__xludf.DUMMYFUNCTION("""COMPUTED_VALUE"""),5)</f>
        <v>5</v>
      </c>
      <c r="K21" s="138">
        <f ca="1">IFERROR(__xludf.DUMMYFUNCTION("""COMPUTED_VALUE"""),160)</f>
        <v>160</v>
      </c>
      <c r="L21" s="137">
        <f ca="1">IFERROR(__xludf.DUMMYFUNCTION("""COMPUTED_VALUE"""),263)</f>
        <v>263</v>
      </c>
      <c r="M21" s="137">
        <f ca="1">IFERROR(__xludf.DUMMYFUNCTION("""COMPUTED_VALUE"""),116)</f>
        <v>116</v>
      </c>
      <c r="N21" s="137">
        <f ca="1">IFERROR(__xludf.DUMMYFUNCTION("""COMPUTED_VALUE"""),8)</f>
        <v>8</v>
      </c>
      <c r="O21" s="138">
        <f ca="1">IFERROR(__xludf.DUMMYFUNCTION("""COMPUTED_VALUE"""),379)</f>
        <v>379</v>
      </c>
      <c r="P21" s="139">
        <f ca="1">IFERROR(__xludf.DUMMYFUNCTION("""COMPUTED_VALUE"""),799)</f>
        <v>799</v>
      </c>
      <c r="Q21" s="165"/>
      <c r="R21" s="159"/>
      <c r="S21" s="159"/>
      <c r="T21" s="140">
        <f ca="1">IFERROR(__xludf.DUMMYFUNCTION("""COMPUTED_VALUE"""),248)</f>
        <v>248</v>
      </c>
      <c r="U21" s="140">
        <f ca="1">IFERROR(__xludf.DUMMYFUNCTION("""COMPUTED_VALUE"""),11)</f>
        <v>11</v>
      </c>
      <c r="V21" s="159"/>
      <c r="W21" s="141" t="str">
        <f ca="1">IFERROR(__xludf.DUMMYFUNCTION("""COMPUTED_VALUE"""),"TV")</f>
        <v>TV</v>
      </c>
      <c r="X21" s="141"/>
      <c r="Y21" s="141" t="str">
        <f ca="1">IFERROR(__xludf.DUMMYFUNCTION("""COMPUTED_VALUE"""),"N")</f>
        <v>N</v>
      </c>
      <c r="Z21" s="141"/>
      <c r="AA21" s="8" t="str">
        <f ca="1">IFERROR(__xludf.DUMMYFUNCTION("""COMPUTED_VALUE"""),"M")</f>
        <v>M</v>
      </c>
    </row>
    <row r="22" spans="1:27" ht="12.75" x14ac:dyDescent="0.2">
      <c r="A22" s="172">
        <v>11</v>
      </c>
      <c r="B22" s="127" t="str">
        <f ca="1">IFERROR(__xludf.DUMMYFUNCTION("""COMPUTED_VALUE"""),"Zavřel Sebastián")</f>
        <v>Zavřel Sebastián</v>
      </c>
      <c r="C22" s="128" t="str">
        <f ca="1">IFERROR(__xludf.DUMMYFUNCTION("""COMPUTED_VALUE"""),"TJ Start Jihlava")</f>
        <v>TJ Start Jihlava</v>
      </c>
      <c r="D22" s="129">
        <f ca="1">IFERROR(__xludf.DUMMYFUNCTION("""COMPUTED_VALUE"""),146)</f>
        <v>146</v>
      </c>
      <c r="E22" s="130">
        <f ca="1">IFERROR(__xludf.DUMMYFUNCTION("""COMPUTED_VALUE"""),44)</f>
        <v>44</v>
      </c>
      <c r="F22" s="130">
        <f ca="1">IFERROR(__xludf.DUMMYFUNCTION("""COMPUTED_VALUE"""),6)</f>
        <v>6</v>
      </c>
      <c r="G22" s="131">
        <f ca="1">IFERROR(__xludf.DUMMYFUNCTION("""COMPUTED_VALUE"""),190)</f>
        <v>190</v>
      </c>
      <c r="H22" s="129">
        <f ca="1">IFERROR(__xludf.DUMMYFUNCTION("""COMPUTED_VALUE"""),147)</f>
        <v>147</v>
      </c>
      <c r="I22" s="130">
        <f ca="1">IFERROR(__xludf.DUMMYFUNCTION("""COMPUTED_VALUE"""),61)</f>
        <v>61</v>
      </c>
      <c r="J22" s="130">
        <f ca="1">IFERROR(__xludf.DUMMYFUNCTION("""COMPUTED_VALUE"""),3)</f>
        <v>3</v>
      </c>
      <c r="K22" s="131">
        <f ca="1">IFERROR(__xludf.DUMMYFUNCTION("""COMPUTED_VALUE"""),208)</f>
        <v>208</v>
      </c>
      <c r="L22" s="130">
        <f ca="1">IFERROR(__xludf.DUMMYFUNCTION("""COMPUTED_VALUE"""),293)</f>
        <v>293</v>
      </c>
      <c r="M22" s="130">
        <f ca="1">IFERROR(__xludf.DUMMYFUNCTION("""COMPUTED_VALUE"""),105)</f>
        <v>105</v>
      </c>
      <c r="N22" s="130">
        <f ca="1">IFERROR(__xludf.DUMMYFUNCTION("""COMPUTED_VALUE"""),9)</f>
        <v>9</v>
      </c>
      <c r="O22" s="131">
        <f ca="1">IFERROR(__xludf.DUMMYFUNCTION("""COMPUTED_VALUE"""),398)</f>
        <v>398</v>
      </c>
      <c r="P22" s="132">
        <f ca="1">IFERROR(__xludf.DUMMYFUNCTION("""COMPUTED_VALUE"""),787)</f>
        <v>787</v>
      </c>
      <c r="Q22" s="173">
        <f ca="1">IFERROR(__xludf.DUMMYFUNCTION("""COMPUTED_VALUE"""),787)</f>
        <v>787</v>
      </c>
      <c r="R22" s="174">
        <f ca="1">IFERROR(__xludf.DUMMYFUNCTION("""COMPUTED_VALUE"""),221)</f>
        <v>221</v>
      </c>
      <c r="S22" s="174">
        <f ca="1">IFERROR(__xludf.DUMMYFUNCTION("""COMPUTED_VALUE"""),24)</f>
        <v>24</v>
      </c>
      <c r="T22" s="133">
        <f ca="1">IFERROR(__xludf.DUMMYFUNCTION("""COMPUTED_VALUE"""),221)</f>
        <v>221</v>
      </c>
      <c r="U22" s="133">
        <f ca="1">IFERROR(__xludf.DUMMYFUNCTION("""COMPUTED_VALUE"""),24)</f>
        <v>24</v>
      </c>
      <c r="V22" s="175" t="str">
        <f ca="1">IFERROR(__xludf.DUMMYFUNCTION("""COMPUTED_VALUE"""),"TV")</f>
        <v>TV</v>
      </c>
      <c r="W22" s="8" t="str">
        <f ca="1">IFERROR(__xludf.DUMMYFUNCTION("""COMPUTED_VALUE"""),"TV")</f>
        <v>TV</v>
      </c>
      <c r="X22" s="8" t="str">
        <f ca="1">IFERROR(__xludf.DUMMYFUNCTION("""COMPUTED_VALUE"""),"R")</f>
        <v>R</v>
      </c>
      <c r="Y22" s="8" t="str">
        <f ca="1">IFERROR(__xludf.DUMMYFUNCTION("""COMPUTED_VALUE"""),"R")</f>
        <v>R</v>
      </c>
      <c r="Z22" s="8" t="str">
        <f ca="1">IFERROR(__xludf.DUMMYFUNCTION("""COMPUTED_VALUE"""),"M")</f>
        <v>M</v>
      </c>
      <c r="AA22" s="8" t="str">
        <f ca="1">IFERROR(__xludf.DUMMYFUNCTION("""COMPUTED_VALUE"""),"M")</f>
        <v>M</v>
      </c>
    </row>
    <row r="23" spans="1:27" ht="12.75" x14ac:dyDescent="0.2">
      <c r="A23" s="165"/>
      <c r="B23" s="134" t="str">
        <f ca="1">IFERROR(__xludf.DUMMYFUNCTION("""COMPUTED_VALUE"""),"Kubeš David")</f>
        <v>Kubeš David</v>
      </c>
      <c r="C23" s="135" t="str">
        <f ca="1">IFERROR(__xludf.DUMMYFUNCTION("""COMPUTED_VALUE"""),"TJ Start Jihlava")</f>
        <v>TJ Start Jihlava</v>
      </c>
      <c r="D23" s="136">
        <f ca="1">IFERROR(__xludf.DUMMYFUNCTION("""COMPUTED_VALUE"""),144)</f>
        <v>144</v>
      </c>
      <c r="E23" s="137">
        <f ca="1">IFERROR(__xludf.DUMMYFUNCTION("""COMPUTED_VALUE"""),35)</f>
        <v>35</v>
      </c>
      <c r="F23" s="137">
        <f ca="1">IFERROR(__xludf.DUMMYFUNCTION("""COMPUTED_VALUE"""),11)</f>
        <v>11</v>
      </c>
      <c r="G23" s="138">
        <f ca="1">IFERROR(__xludf.DUMMYFUNCTION("""COMPUTED_VALUE"""),179)</f>
        <v>179</v>
      </c>
      <c r="H23" s="136">
        <f ca="1">IFERROR(__xludf.DUMMYFUNCTION("""COMPUTED_VALUE"""),129)</f>
        <v>129</v>
      </c>
      <c r="I23" s="137">
        <f ca="1">IFERROR(__xludf.DUMMYFUNCTION("""COMPUTED_VALUE"""),81)</f>
        <v>81</v>
      </c>
      <c r="J23" s="137">
        <f ca="1">IFERROR(__xludf.DUMMYFUNCTION("""COMPUTED_VALUE"""),4)</f>
        <v>4</v>
      </c>
      <c r="K23" s="138">
        <f ca="1">IFERROR(__xludf.DUMMYFUNCTION("""COMPUTED_VALUE"""),210)</f>
        <v>210</v>
      </c>
      <c r="L23" s="137">
        <f ca="1">IFERROR(__xludf.DUMMYFUNCTION("""COMPUTED_VALUE"""),273)</f>
        <v>273</v>
      </c>
      <c r="M23" s="137">
        <f ca="1">IFERROR(__xludf.DUMMYFUNCTION("""COMPUTED_VALUE"""),116)</f>
        <v>116</v>
      </c>
      <c r="N23" s="137">
        <f ca="1">IFERROR(__xludf.DUMMYFUNCTION("""COMPUTED_VALUE"""),15)</f>
        <v>15</v>
      </c>
      <c r="O23" s="138">
        <f ca="1">IFERROR(__xludf.DUMMYFUNCTION("""COMPUTED_VALUE"""),389)</f>
        <v>389</v>
      </c>
      <c r="P23" s="139">
        <f ca="1">IFERROR(__xludf.DUMMYFUNCTION("""COMPUTED_VALUE"""),787)</f>
        <v>787</v>
      </c>
      <c r="Q23" s="165"/>
      <c r="R23" s="159"/>
      <c r="S23" s="159"/>
      <c r="T23" s="140">
        <f ca="1">IFERROR(__xludf.DUMMYFUNCTION("""COMPUTED_VALUE"""),221)</f>
        <v>221</v>
      </c>
      <c r="U23" s="140">
        <f ca="1">IFERROR(__xludf.DUMMYFUNCTION("""COMPUTED_VALUE"""),24)</f>
        <v>24</v>
      </c>
      <c r="V23" s="159"/>
      <c r="W23" s="141" t="str">
        <f ca="1">IFERROR(__xludf.DUMMYFUNCTION("""COMPUTED_VALUE"""),"TV")</f>
        <v>TV</v>
      </c>
      <c r="X23" s="141"/>
      <c r="Y23" s="141" t="str">
        <f ca="1">IFERROR(__xludf.DUMMYFUNCTION("""COMPUTED_VALUE"""),"R")</f>
        <v>R</v>
      </c>
      <c r="Z23" s="141"/>
      <c r="AA23" s="8" t="str">
        <f ca="1">IFERROR(__xludf.DUMMYFUNCTION("""COMPUTED_VALUE"""),"M")</f>
        <v>M</v>
      </c>
    </row>
    <row r="24" spans="1:27" ht="12.75" x14ac:dyDescent="0.2">
      <c r="A24" s="172">
        <v>12</v>
      </c>
      <c r="B24" s="127" t="str">
        <f ca="1">IFERROR(__xludf.DUMMYFUNCTION("""COMPUTED_VALUE"""),"Švehlík Zdeněk")</f>
        <v>Švehlík Zdeněk</v>
      </c>
      <c r="C24" s="128" t="str">
        <f ca="1">IFERROR(__xludf.DUMMYFUNCTION("""COMPUTED_VALUE"""),"TJ Start Jihlava")</f>
        <v>TJ Start Jihlava</v>
      </c>
      <c r="D24" s="129">
        <f ca="1">IFERROR(__xludf.DUMMYFUNCTION("""COMPUTED_VALUE"""),130)</f>
        <v>130</v>
      </c>
      <c r="E24" s="130">
        <f ca="1">IFERROR(__xludf.DUMMYFUNCTION("""COMPUTED_VALUE"""),44)</f>
        <v>44</v>
      </c>
      <c r="F24" s="130">
        <f ca="1">IFERROR(__xludf.DUMMYFUNCTION("""COMPUTED_VALUE"""),5)</f>
        <v>5</v>
      </c>
      <c r="G24" s="131">
        <f ca="1">IFERROR(__xludf.DUMMYFUNCTION("""COMPUTED_VALUE"""),174)</f>
        <v>174</v>
      </c>
      <c r="H24" s="129">
        <f ca="1">IFERROR(__xludf.DUMMYFUNCTION("""COMPUTED_VALUE"""),142)</f>
        <v>142</v>
      </c>
      <c r="I24" s="130">
        <f ca="1">IFERROR(__xludf.DUMMYFUNCTION("""COMPUTED_VALUE"""),54)</f>
        <v>54</v>
      </c>
      <c r="J24" s="130">
        <f ca="1">IFERROR(__xludf.DUMMYFUNCTION("""COMPUTED_VALUE"""),6)</f>
        <v>6</v>
      </c>
      <c r="K24" s="131">
        <f ca="1">IFERROR(__xludf.DUMMYFUNCTION("""COMPUTED_VALUE"""),196)</f>
        <v>196</v>
      </c>
      <c r="L24" s="130">
        <f ca="1">IFERROR(__xludf.DUMMYFUNCTION("""COMPUTED_VALUE"""),272)</f>
        <v>272</v>
      </c>
      <c r="M24" s="130">
        <f ca="1">IFERROR(__xludf.DUMMYFUNCTION("""COMPUTED_VALUE"""),98)</f>
        <v>98</v>
      </c>
      <c r="N24" s="130">
        <f ca="1">IFERROR(__xludf.DUMMYFUNCTION("""COMPUTED_VALUE"""),11)</f>
        <v>11</v>
      </c>
      <c r="O24" s="131">
        <f ca="1">IFERROR(__xludf.DUMMYFUNCTION("""COMPUTED_VALUE"""),370)</f>
        <v>370</v>
      </c>
      <c r="P24" s="132">
        <f ca="1">IFERROR(__xludf.DUMMYFUNCTION("""COMPUTED_VALUE"""),786)</f>
        <v>786</v>
      </c>
      <c r="Q24" s="173">
        <f ca="1">IFERROR(__xludf.DUMMYFUNCTION("""COMPUTED_VALUE"""),786)</f>
        <v>786</v>
      </c>
      <c r="R24" s="174">
        <f ca="1">IFERROR(__xludf.DUMMYFUNCTION("""COMPUTED_VALUE"""),225)</f>
        <v>225</v>
      </c>
      <c r="S24" s="174">
        <f ca="1">IFERROR(__xludf.DUMMYFUNCTION("""COMPUTED_VALUE"""),13)</f>
        <v>13</v>
      </c>
      <c r="T24" s="133">
        <f ca="1">IFERROR(__xludf.DUMMYFUNCTION("""COMPUTED_VALUE"""),225)</f>
        <v>225</v>
      </c>
      <c r="U24" s="133">
        <f ca="1">IFERROR(__xludf.DUMMYFUNCTION("""COMPUTED_VALUE"""),13)</f>
        <v>13</v>
      </c>
      <c r="V24" s="175" t="str">
        <f ca="1">IFERROR(__xludf.DUMMYFUNCTION("""COMPUTED_VALUE"""),"TV")</f>
        <v>TV</v>
      </c>
      <c r="W24" s="8" t="str">
        <f ca="1">IFERROR(__xludf.DUMMYFUNCTION("""COMPUTED_VALUE"""),"TV")</f>
        <v>TV</v>
      </c>
      <c r="X24" s="8" t="str">
        <f ca="1">IFERROR(__xludf.DUMMYFUNCTION("""COMPUTED_VALUE"""),"R")</f>
        <v>R</v>
      </c>
      <c r="Y24" s="8" t="str">
        <f ca="1">IFERROR(__xludf.DUMMYFUNCTION("""COMPUTED_VALUE"""),"R")</f>
        <v>R</v>
      </c>
      <c r="Z24" s="8" t="str">
        <f ca="1">IFERROR(__xludf.DUMMYFUNCTION("""COMPUTED_VALUE"""),"M")</f>
        <v>M</v>
      </c>
      <c r="AA24" s="8" t="str">
        <f ca="1">IFERROR(__xludf.DUMMYFUNCTION("""COMPUTED_VALUE"""),"M")</f>
        <v>M</v>
      </c>
    </row>
    <row r="25" spans="1:27" ht="12.75" x14ac:dyDescent="0.2">
      <c r="A25" s="165"/>
      <c r="B25" s="134" t="str">
        <f ca="1">IFERROR(__xludf.DUMMYFUNCTION("""COMPUTED_VALUE"""),"Hlaváček Petr")</f>
        <v>Hlaváček Petr</v>
      </c>
      <c r="C25" s="135" t="str">
        <f ca="1">IFERROR(__xludf.DUMMYFUNCTION("""COMPUTED_VALUE"""),"TJ Start Jihlava")</f>
        <v>TJ Start Jihlava</v>
      </c>
      <c r="D25" s="136">
        <f ca="1">IFERROR(__xludf.DUMMYFUNCTION("""COMPUTED_VALUE"""),145)</f>
        <v>145</v>
      </c>
      <c r="E25" s="137">
        <f ca="1">IFERROR(__xludf.DUMMYFUNCTION("""COMPUTED_VALUE"""),68)</f>
        <v>68</v>
      </c>
      <c r="F25" s="137">
        <f ca="1">IFERROR(__xludf.DUMMYFUNCTION("""COMPUTED_VALUE"""),1)</f>
        <v>1</v>
      </c>
      <c r="G25" s="138">
        <f ca="1">IFERROR(__xludf.DUMMYFUNCTION("""COMPUTED_VALUE"""),213)</f>
        <v>213</v>
      </c>
      <c r="H25" s="136">
        <f ca="1">IFERROR(__xludf.DUMMYFUNCTION("""COMPUTED_VALUE"""),144)</f>
        <v>144</v>
      </c>
      <c r="I25" s="137">
        <f ca="1">IFERROR(__xludf.DUMMYFUNCTION("""COMPUTED_VALUE"""),59)</f>
        <v>59</v>
      </c>
      <c r="J25" s="137">
        <f ca="1">IFERROR(__xludf.DUMMYFUNCTION("""COMPUTED_VALUE"""),1)</f>
        <v>1</v>
      </c>
      <c r="K25" s="138">
        <f ca="1">IFERROR(__xludf.DUMMYFUNCTION("""COMPUTED_VALUE"""),203)</f>
        <v>203</v>
      </c>
      <c r="L25" s="137">
        <f ca="1">IFERROR(__xludf.DUMMYFUNCTION("""COMPUTED_VALUE"""),289)</f>
        <v>289</v>
      </c>
      <c r="M25" s="137">
        <f ca="1">IFERROR(__xludf.DUMMYFUNCTION("""COMPUTED_VALUE"""),127)</f>
        <v>127</v>
      </c>
      <c r="N25" s="137">
        <f ca="1">IFERROR(__xludf.DUMMYFUNCTION("""COMPUTED_VALUE"""),2)</f>
        <v>2</v>
      </c>
      <c r="O25" s="138">
        <f ca="1">IFERROR(__xludf.DUMMYFUNCTION("""COMPUTED_VALUE"""),416)</f>
        <v>416</v>
      </c>
      <c r="P25" s="139">
        <f ca="1">IFERROR(__xludf.DUMMYFUNCTION("""COMPUTED_VALUE"""),786)</f>
        <v>786</v>
      </c>
      <c r="Q25" s="165"/>
      <c r="R25" s="159"/>
      <c r="S25" s="159"/>
      <c r="T25" s="140">
        <f ca="1">IFERROR(__xludf.DUMMYFUNCTION("""COMPUTED_VALUE"""),225)</f>
        <v>225</v>
      </c>
      <c r="U25" s="140">
        <f ca="1">IFERROR(__xludf.DUMMYFUNCTION("""COMPUTED_VALUE"""),13)</f>
        <v>13</v>
      </c>
      <c r="V25" s="159"/>
      <c r="W25" s="141" t="str">
        <f ca="1">IFERROR(__xludf.DUMMYFUNCTION("""COMPUTED_VALUE"""),"TV")</f>
        <v>TV</v>
      </c>
      <c r="X25" s="141"/>
      <c r="Y25" s="141" t="str">
        <f ca="1">IFERROR(__xludf.DUMMYFUNCTION("""COMPUTED_VALUE"""),"R")</f>
        <v>R</v>
      </c>
      <c r="Z25" s="141"/>
      <c r="AA25" s="8" t="str">
        <f ca="1">IFERROR(__xludf.DUMMYFUNCTION("""COMPUTED_VALUE"""),"M")</f>
        <v>M</v>
      </c>
    </row>
    <row r="26" spans="1:27" ht="12.75" x14ac:dyDescent="0.2">
      <c r="A26" s="172">
        <v>13</v>
      </c>
      <c r="B26" s="127" t="str">
        <f ca="1">IFERROR(__xludf.DUMMYFUNCTION("""COMPUTED_VALUE"""),"Benda Jaroslav")</f>
        <v>Benda Jaroslav</v>
      </c>
      <c r="C26" s="128" t="str">
        <f ca="1">IFERROR(__xludf.DUMMYFUNCTION("""COMPUTED_VALUE"""),"TJ Spartak Pelhrimov")</f>
        <v>TJ Spartak Pelhrimov</v>
      </c>
      <c r="D26" s="129">
        <f ca="1">IFERROR(__xludf.DUMMYFUNCTION("""COMPUTED_VALUE"""),131)</f>
        <v>131</v>
      </c>
      <c r="E26" s="130">
        <f ca="1">IFERROR(__xludf.DUMMYFUNCTION("""COMPUTED_VALUE"""),53)</f>
        <v>53</v>
      </c>
      <c r="F26" s="130">
        <f ca="1">IFERROR(__xludf.DUMMYFUNCTION("""COMPUTED_VALUE"""),5)</f>
        <v>5</v>
      </c>
      <c r="G26" s="131">
        <f ca="1">IFERROR(__xludf.DUMMYFUNCTION("""COMPUTED_VALUE"""),184)</f>
        <v>184</v>
      </c>
      <c r="H26" s="129">
        <f ca="1">IFERROR(__xludf.DUMMYFUNCTION("""COMPUTED_VALUE"""),143)</f>
        <v>143</v>
      </c>
      <c r="I26" s="130">
        <f ca="1">IFERROR(__xludf.DUMMYFUNCTION("""COMPUTED_VALUE"""),53)</f>
        <v>53</v>
      </c>
      <c r="J26" s="130">
        <f ca="1">IFERROR(__xludf.DUMMYFUNCTION("""COMPUTED_VALUE"""),7)</f>
        <v>7</v>
      </c>
      <c r="K26" s="131">
        <f ca="1">IFERROR(__xludf.DUMMYFUNCTION("""COMPUTED_VALUE"""),196)</f>
        <v>196</v>
      </c>
      <c r="L26" s="130">
        <f ca="1">IFERROR(__xludf.DUMMYFUNCTION("""COMPUTED_VALUE"""),274)</f>
        <v>274</v>
      </c>
      <c r="M26" s="130">
        <f ca="1">IFERROR(__xludf.DUMMYFUNCTION("""COMPUTED_VALUE"""),106)</f>
        <v>106</v>
      </c>
      <c r="N26" s="130">
        <f ca="1">IFERROR(__xludf.DUMMYFUNCTION("""COMPUTED_VALUE"""),12)</f>
        <v>12</v>
      </c>
      <c r="O26" s="131">
        <f ca="1">IFERROR(__xludf.DUMMYFUNCTION("""COMPUTED_VALUE"""),380)</f>
        <v>380</v>
      </c>
      <c r="P26" s="132">
        <f ca="1">IFERROR(__xludf.DUMMYFUNCTION("""COMPUTED_VALUE"""),784)</f>
        <v>784</v>
      </c>
      <c r="Q26" s="173">
        <f ca="1">IFERROR(__xludf.DUMMYFUNCTION("""COMPUTED_VALUE"""),784)</f>
        <v>784</v>
      </c>
      <c r="R26" s="174">
        <f ca="1">IFERROR(__xludf.DUMMYFUNCTION("""COMPUTED_VALUE"""),229)</f>
        <v>229</v>
      </c>
      <c r="S26" s="174">
        <f ca="1">IFERROR(__xludf.DUMMYFUNCTION("""COMPUTED_VALUE"""),19)</f>
        <v>19</v>
      </c>
      <c r="T26" s="133">
        <f ca="1">IFERROR(__xludf.DUMMYFUNCTION("""COMPUTED_VALUE"""),229)</f>
        <v>229</v>
      </c>
      <c r="U26" s="133">
        <f ca="1">IFERROR(__xludf.DUMMYFUNCTION("""COMPUTED_VALUE"""),19)</f>
        <v>19</v>
      </c>
      <c r="V26" s="175" t="str">
        <f ca="1">IFERROR(__xludf.DUMMYFUNCTION("""COMPUTED_VALUE"""),"TV")</f>
        <v>TV</v>
      </c>
      <c r="W26" s="8" t="str">
        <f ca="1">IFERROR(__xludf.DUMMYFUNCTION("""COMPUTED_VALUE"""),"TV")</f>
        <v>TV</v>
      </c>
      <c r="X26" s="8" t="str">
        <f ca="1">IFERROR(__xludf.DUMMYFUNCTION("""COMPUTED_VALUE"""),"R")</f>
        <v>R</v>
      </c>
      <c r="Y26" s="8" t="str">
        <f ca="1">IFERROR(__xludf.DUMMYFUNCTION("""COMPUTED_VALUE"""),"R")</f>
        <v>R</v>
      </c>
      <c r="Z26" s="8" t="str">
        <f ca="1">IFERROR(__xludf.DUMMYFUNCTION("""COMPUTED_VALUE"""),"M")</f>
        <v>M</v>
      </c>
      <c r="AA26" s="8" t="str">
        <f ca="1">IFERROR(__xludf.DUMMYFUNCTION("""COMPUTED_VALUE"""),"M")</f>
        <v>M</v>
      </c>
    </row>
    <row r="27" spans="1:27" ht="12.75" x14ac:dyDescent="0.2">
      <c r="A27" s="165"/>
      <c r="B27" s="134" t="str">
        <f ca="1">IFERROR(__xludf.DUMMYFUNCTION("""COMPUTED_VALUE"""),"Fučík Josef")</f>
        <v>Fučík Josef</v>
      </c>
      <c r="C27" s="135" t="str">
        <f ca="1">IFERROR(__xludf.DUMMYFUNCTION("""COMPUTED_VALUE"""),"TJ Spartak Pelhrimov")</f>
        <v>TJ Spartak Pelhrimov</v>
      </c>
      <c r="D27" s="136">
        <f ca="1">IFERROR(__xludf.DUMMYFUNCTION("""COMPUTED_VALUE"""),134)</f>
        <v>134</v>
      </c>
      <c r="E27" s="137">
        <f ca="1">IFERROR(__xludf.DUMMYFUNCTION("""COMPUTED_VALUE"""),61)</f>
        <v>61</v>
      </c>
      <c r="F27" s="137">
        <f ca="1">IFERROR(__xludf.DUMMYFUNCTION("""COMPUTED_VALUE"""),4)</f>
        <v>4</v>
      </c>
      <c r="G27" s="138">
        <f ca="1">IFERROR(__xludf.DUMMYFUNCTION("""COMPUTED_VALUE"""),195)</f>
        <v>195</v>
      </c>
      <c r="H27" s="136">
        <f ca="1">IFERROR(__xludf.DUMMYFUNCTION("""COMPUTED_VALUE"""),147)</f>
        <v>147</v>
      </c>
      <c r="I27" s="137">
        <f ca="1">IFERROR(__xludf.DUMMYFUNCTION("""COMPUTED_VALUE"""),62)</f>
        <v>62</v>
      </c>
      <c r="J27" s="137">
        <f ca="1">IFERROR(__xludf.DUMMYFUNCTION("""COMPUTED_VALUE"""),3)</f>
        <v>3</v>
      </c>
      <c r="K27" s="138">
        <f ca="1">IFERROR(__xludf.DUMMYFUNCTION("""COMPUTED_VALUE"""),209)</f>
        <v>209</v>
      </c>
      <c r="L27" s="137">
        <f ca="1">IFERROR(__xludf.DUMMYFUNCTION("""COMPUTED_VALUE"""),281)</f>
        <v>281</v>
      </c>
      <c r="M27" s="137">
        <f ca="1">IFERROR(__xludf.DUMMYFUNCTION("""COMPUTED_VALUE"""),123)</f>
        <v>123</v>
      </c>
      <c r="N27" s="137">
        <f ca="1">IFERROR(__xludf.DUMMYFUNCTION("""COMPUTED_VALUE"""),7)</f>
        <v>7</v>
      </c>
      <c r="O27" s="138">
        <f ca="1">IFERROR(__xludf.DUMMYFUNCTION("""COMPUTED_VALUE"""),404)</f>
        <v>404</v>
      </c>
      <c r="P27" s="139">
        <f ca="1">IFERROR(__xludf.DUMMYFUNCTION("""COMPUTED_VALUE"""),784)</f>
        <v>784</v>
      </c>
      <c r="Q27" s="165"/>
      <c r="R27" s="159"/>
      <c r="S27" s="159"/>
      <c r="T27" s="140">
        <f ca="1">IFERROR(__xludf.DUMMYFUNCTION("""COMPUTED_VALUE"""),229)</f>
        <v>229</v>
      </c>
      <c r="U27" s="140">
        <f ca="1">IFERROR(__xludf.DUMMYFUNCTION("""COMPUTED_VALUE"""),19)</f>
        <v>19</v>
      </c>
      <c r="V27" s="159"/>
      <c r="W27" s="141" t="str">
        <f ca="1">IFERROR(__xludf.DUMMYFUNCTION("""COMPUTED_VALUE"""),"TV")</f>
        <v>TV</v>
      </c>
      <c r="X27" s="141"/>
      <c r="Y27" s="141" t="str">
        <f ca="1">IFERROR(__xludf.DUMMYFUNCTION("""COMPUTED_VALUE"""),"R")</f>
        <v>R</v>
      </c>
      <c r="Z27" s="141"/>
      <c r="AA27" s="8" t="str">
        <f ca="1">IFERROR(__xludf.DUMMYFUNCTION("""COMPUTED_VALUE"""),"M")</f>
        <v>M</v>
      </c>
    </row>
    <row r="28" spans="1:27" ht="12.75" x14ac:dyDescent="0.2">
      <c r="A28" s="172">
        <v>14</v>
      </c>
      <c r="B28" s="127" t="str">
        <f ca="1">IFERROR(__xludf.DUMMYFUNCTION("""COMPUTED_VALUE"""),"Vytisková Zdenka")</f>
        <v>Vytisková Zdenka</v>
      </c>
      <c r="C28" s="128" t="str">
        <f ca="1">IFERROR(__xludf.DUMMYFUNCTION("""COMPUTED_VALUE"""),"TJ Spartak Pelhrimov")</f>
        <v>TJ Spartak Pelhrimov</v>
      </c>
      <c r="D28" s="129">
        <f ca="1">IFERROR(__xludf.DUMMYFUNCTION("""COMPUTED_VALUE"""),127)</f>
        <v>127</v>
      </c>
      <c r="E28" s="130">
        <f ca="1">IFERROR(__xludf.DUMMYFUNCTION("""COMPUTED_VALUE"""),31)</f>
        <v>31</v>
      </c>
      <c r="F28" s="130">
        <f ca="1">IFERROR(__xludf.DUMMYFUNCTION("""COMPUTED_VALUE"""),11)</f>
        <v>11</v>
      </c>
      <c r="G28" s="131">
        <f ca="1">IFERROR(__xludf.DUMMYFUNCTION("""COMPUTED_VALUE"""),158)</f>
        <v>158</v>
      </c>
      <c r="H28" s="129">
        <f ca="1">IFERROR(__xludf.DUMMYFUNCTION("""COMPUTED_VALUE"""),124)</f>
        <v>124</v>
      </c>
      <c r="I28" s="130">
        <f ca="1">IFERROR(__xludf.DUMMYFUNCTION("""COMPUTED_VALUE"""),43)</f>
        <v>43</v>
      </c>
      <c r="J28" s="130">
        <f ca="1">IFERROR(__xludf.DUMMYFUNCTION("""COMPUTED_VALUE"""),8)</f>
        <v>8</v>
      </c>
      <c r="K28" s="131">
        <f ca="1">IFERROR(__xludf.DUMMYFUNCTION("""COMPUTED_VALUE"""),167)</f>
        <v>167</v>
      </c>
      <c r="L28" s="130">
        <f ca="1">IFERROR(__xludf.DUMMYFUNCTION("""COMPUTED_VALUE"""),251)</f>
        <v>251</v>
      </c>
      <c r="M28" s="130">
        <f ca="1">IFERROR(__xludf.DUMMYFUNCTION("""COMPUTED_VALUE"""),74)</f>
        <v>74</v>
      </c>
      <c r="N28" s="130">
        <f ca="1">IFERROR(__xludf.DUMMYFUNCTION("""COMPUTED_VALUE"""),19)</f>
        <v>19</v>
      </c>
      <c r="O28" s="131">
        <f ca="1">IFERROR(__xludf.DUMMYFUNCTION("""COMPUTED_VALUE"""),325)</f>
        <v>325</v>
      </c>
      <c r="P28" s="132">
        <f ca="1">IFERROR(__xludf.DUMMYFUNCTION("""COMPUTED_VALUE"""),757)</f>
        <v>757</v>
      </c>
      <c r="Q28" s="173">
        <f ca="1">IFERROR(__xludf.DUMMYFUNCTION("""COMPUTED_VALUE"""),757)</f>
        <v>757</v>
      </c>
      <c r="R28" s="174">
        <f ca="1">IFERROR(__xludf.DUMMYFUNCTION("""COMPUTED_VALUE"""),200)</f>
        <v>200</v>
      </c>
      <c r="S28" s="174">
        <f ca="1">IFERROR(__xludf.DUMMYFUNCTION("""COMPUTED_VALUE"""),20)</f>
        <v>20</v>
      </c>
      <c r="T28" s="133">
        <f ca="1">IFERROR(__xludf.DUMMYFUNCTION("""COMPUTED_VALUE"""),200)</f>
        <v>200</v>
      </c>
      <c r="U28" s="133">
        <f ca="1">IFERROR(__xludf.DUMMYFUNCTION("""COMPUTED_VALUE"""),20)</f>
        <v>20</v>
      </c>
      <c r="V28" s="175" t="str">
        <f ca="1">IFERROR(__xludf.DUMMYFUNCTION("""COMPUTED_VALUE"""),"TV")</f>
        <v>TV</v>
      </c>
      <c r="W28" s="8" t="str">
        <f ca="1">IFERROR(__xludf.DUMMYFUNCTION("""COMPUTED_VALUE"""),"TV")</f>
        <v>TV</v>
      </c>
      <c r="X28" s="8" t="str">
        <f ca="1">IFERROR(__xludf.DUMMYFUNCTION("""COMPUTED_VALUE"""),"R")</f>
        <v>R</v>
      </c>
      <c r="Y28" s="8" t="str">
        <f ca="1">IFERROR(__xludf.DUMMYFUNCTION("""COMPUTED_VALUE"""),"R")</f>
        <v>R</v>
      </c>
      <c r="Z28" s="8" t="str">
        <f ca="1">IFERROR(__xludf.DUMMYFUNCTION("""COMPUTED_VALUE"""),"S")</f>
        <v>S</v>
      </c>
      <c r="AA28" s="8" t="str">
        <f ca="1">IFERROR(__xludf.DUMMYFUNCTION("""COMPUTED_VALUE"""),"S")</f>
        <v>S</v>
      </c>
    </row>
    <row r="29" spans="1:27" ht="12.75" x14ac:dyDescent="0.2">
      <c r="A29" s="165"/>
      <c r="B29" s="134" t="str">
        <f ca="1">IFERROR(__xludf.DUMMYFUNCTION("""COMPUTED_VALUE"""),"Novotný Václav")</f>
        <v>Novotný Václav</v>
      </c>
      <c r="C29" s="135" t="str">
        <f ca="1">IFERROR(__xludf.DUMMYFUNCTION("""COMPUTED_VALUE"""),"TJ Spartak Pelhrimov")</f>
        <v>TJ Spartak Pelhrimov</v>
      </c>
      <c r="D29" s="136">
        <f ca="1">IFERROR(__xludf.DUMMYFUNCTION("""COMPUTED_VALUE"""),155)</f>
        <v>155</v>
      </c>
      <c r="E29" s="137">
        <f ca="1">IFERROR(__xludf.DUMMYFUNCTION("""COMPUTED_VALUE"""),63)</f>
        <v>63</v>
      </c>
      <c r="F29" s="137">
        <f ca="1">IFERROR(__xludf.DUMMYFUNCTION("""COMPUTED_VALUE"""),0)</f>
        <v>0</v>
      </c>
      <c r="G29" s="138">
        <f ca="1">IFERROR(__xludf.DUMMYFUNCTION("""COMPUTED_VALUE"""),218)</f>
        <v>218</v>
      </c>
      <c r="H29" s="136">
        <f ca="1">IFERROR(__xludf.DUMMYFUNCTION("""COMPUTED_VALUE"""),151)</f>
        <v>151</v>
      </c>
      <c r="I29" s="137">
        <f ca="1">IFERROR(__xludf.DUMMYFUNCTION("""COMPUTED_VALUE"""),63)</f>
        <v>63</v>
      </c>
      <c r="J29" s="137">
        <f ca="1">IFERROR(__xludf.DUMMYFUNCTION("""COMPUTED_VALUE"""),1)</f>
        <v>1</v>
      </c>
      <c r="K29" s="138">
        <f ca="1">IFERROR(__xludf.DUMMYFUNCTION("""COMPUTED_VALUE"""),214)</f>
        <v>214</v>
      </c>
      <c r="L29" s="137">
        <f ca="1">IFERROR(__xludf.DUMMYFUNCTION("""COMPUTED_VALUE"""),306)</f>
        <v>306</v>
      </c>
      <c r="M29" s="137">
        <f ca="1">IFERROR(__xludf.DUMMYFUNCTION("""COMPUTED_VALUE"""),126)</f>
        <v>126</v>
      </c>
      <c r="N29" s="137">
        <f ca="1">IFERROR(__xludf.DUMMYFUNCTION("""COMPUTED_VALUE"""),1)</f>
        <v>1</v>
      </c>
      <c r="O29" s="138">
        <f ca="1">IFERROR(__xludf.DUMMYFUNCTION("""COMPUTED_VALUE"""),432)</f>
        <v>432</v>
      </c>
      <c r="P29" s="139">
        <f ca="1">IFERROR(__xludf.DUMMYFUNCTION("""COMPUTED_VALUE"""),757)</f>
        <v>757</v>
      </c>
      <c r="Q29" s="165"/>
      <c r="R29" s="159"/>
      <c r="S29" s="159"/>
      <c r="T29" s="140">
        <f ca="1">IFERROR(__xludf.DUMMYFUNCTION("""COMPUTED_VALUE"""),200)</f>
        <v>200</v>
      </c>
      <c r="U29" s="140">
        <f ca="1">IFERROR(__xludf.DUMMYFUNCTION("""COMPUTED_VALUE"""),20)</f>
        <v>20</v>
      </c>
      <c r="V29" s="159"/>
      <c r="W29" s="141" t="str">
        <f ca="1">IFERROR(__xludf.DUMMYFUNCTION("""COMPUTED_VALUE"""),"TV")</f>
        <v>TV</v>
      </c>
      <c r="X29" s="141"/>
      <c r="Y29" s="141" t="str">
        <f ca="1">IFERROR(__xludf.DUMMYFUNCTION("""COMPUTED_VALUE"""),"R")</f>
        <v>R</v>
      </c>
      <c r="Z29" s="141"/>
      <c r="AA29" s="8" t="str">
        <f ca="1">IFERROR(__xludf.DUMMYFUNCTION("""COMPUTED_VALUE"""),"S")</f>
        <v>S</v>
      </c>
    </row>
    <row r="30" spans="1:27" ht="12.75" x14ac:dyDescent="0.2">
      <c r="A30" s="172">
        <v>15</v>
      </c>
      <c r="B30" s="127" t="str">
        <f ca="1">IFERROR(__xludf.DUMMYFUNCTION("""COMPUTED_VALUE"""),"Kuběnova Liba")</f>
        <v>Kuběnova Liba</v>
      </c>
      <c r="C30" s="128" t="str">
        <f ca="1">IFERROR(__xludf.DUMMYFUNCTION("""COMPUTED_VALUE"""),"Nové Město na Moravě")</f>
        <v>Nové Město na Moravě</v>
      </c>
      <c r="D30" s="129">
        <f ca="1">IFERROR(__xludf.DUMMYFUNCTION("""COMPUTED_VALUE"""),129)</f>
        <v>129</v>
      </c>
      <c r="E30" s="130">
        <f ca="1">IFERROR(__xludf.DUMMYFUNCTION("""COMPUTED_VALUE"""),34)</f>
        <v>34</v>
      </c>
      <c r="F30" s="130">
        <f ca="1">IFERROR(__xludf.DUMMYFUNCTION("""COMPUTED_VALUE"""),13)</f>
        <v>13</v>
      </c>
      <c r="G30" s="131">
        <f ca="1">IFERROR(__xludf.DUMMYFUNCTION("""COMPUTED_VALUE"""),163)</f>
        <v>163</v>
      </c>
      <c r="H30" s="129">
        <f ca="1">IFERROR(__xludf.DUMMYFUNCTION("""COMPUTED_VALUE"""),134)</f>
        <v>134</v>
      </c>
      <c r="I30" s="130">
        <f ca="1">IFERROR(__xludf.DUMMYFUNCTION("""COMPUTED_VALUE"""),52)</f>
        <v>52</v>
      </c>
      <c r="J30" s="130">
        <f ca="1">IFERROR(__xludf.DUMMYFUNCTION("""COMPUTED_VALUE"""),5)</f>
        <v>5</v>
      </c>
      <c r="K30" s="131">
        <f ca="1">IFERROR(__xludf.DUMMYFUNCTION("""COMPUTED_VALUE"""),186)</f>
        <v>186</v>
      </c>
      <c r="L30" s="130">
        <f ca="1">IFERROR(__xludf.DUMMYFUNCTION("""COMPUTED_VALUE"""),263)</f>
        <v>263</v>
      </c>
      <c r="M30" s="130">
        <f ca="1">IFERROR(__xludf.DUMMYFUNCTION("""COMPUTED_VALUE"""),86)</f>
        <v>86</v>
      </c>
      <c r="N30" s="130">
        <f ca="1">IFERROR(__xludf.DUMMYFUNCTION("""COMPUTED_VALUE"""),18)</f>
        <v>18</v>
      </c>
      <c r="O30" s="131">
        <f ca="1">IFERROR(__xludf.DUMMYFUNCTION("""COMPUTED_VALUE"""),349)</f>
        <v>349</v>
      </c>
      <c r="P30" s="132">
        <f ca="1">IFERROR(__xludf.DUMMYFUNCTION("""COMPUTED_VALUE"""),748)</f>
        <v>748</v>
      </c>
      <c r="Q30" s="173">
        <f ca="1">IFERROR(__xludf.DUMMYFUNCTION("""COMPUTED_VALUE"""),748)</f>
        <v>748</v>
      </c>
      <c r="R30" s="174">
        <f ca="1">IFERROR(__xludf.DUMMYFUNCTION("""COMPUTED_VALUE"""),214)</f>
        <v>214</v>
      </c>
      <c r="S30" s="174">
        <f ca="1">IFERROR(__xludf.DUMMYFUNCTION("""COMPUTED_VALUE"""),25)</f>
        <v>25</v>
      </c>
      <c r="T30" s="133">
        <f ca="1">IFERROR(__xludf.DUMMYFUNCTION("""COMPUTED_VALUE"""),214)</f>
        <v>214</v>
      </c>
      <c r="U30" s="133">
        <f ca="1">IFERROR(__xludf.DUMMYFUNCTION("""COMPUTED_VALUE"""),25)</f>
        <v>25</v>
      </c>
      <c r="V30" s="175" t="str">
        <f ca="1">IFERROR(__xludf.DUMMYFUNCTION("""COMPUTED_VALUE"""),"TV")</f>
        <v>TV</v>
      </c>
      <c r="W30" s="8" t="str">
        <f ca="1">IFERROR(__xludf.DUMMYFUNCTION("""COMPUTED_VALUE"""),"TV")</f>
        <v>TV</v>
      </c>
      <c r="X30" s="8" t="str">
        <f ca="1">IFERROR(__xludf.DUMMYFUNCTION("""COMPUTED_VALUE"""),"R")</f>
        <v>R</v>
      </c>
      <c r="Y30" s="8" t="str">
        <f ca="1">IFERROR(__xludf.DUMMYFUNCTION("""COMPUTED_VALUE"""),"R")</f>
        <v>R</v>
      </c>
      <c r="Z30" s="8" t="str">
        <f ca="1">IFERROR(__xludf.DUMMYFUNCTION("""COMPUTED_VALUE"""),"Ž")</f>
        <v>Ž</v>
      </c>
      <c r="AA30" s="8" t="str">
        <f ca="1">IFERROR(__xludf.DUMMYFUNCTION("""COMPUTED_VALUE"""),"Ž")</f>
        <v>Ž</v>
      </c>
    </row>
    <row r="31" spans="1:27" ht="12.75" x14ac:dyDescent="0.2">
      <c r="A31" s="165"/>
      <c r="B31" s="134" t="str">
        <f ca="1">IFERROR(__xludf.DUMMYFUNCTION("""COMPUTED_VALUE"""),"Svobodova Petra")</f>
        <v>Svobodova Petra</v>
      </c>
      <c r="C31" s="135" t="str">
        <f ca="1">IFERROR(__xludf.DUMMYFUNCTION("""COMPUTED_VALUE"""),"Nové Město na Moravě")</f>
        <v>Nové Město na Moravě</v>
      </c>
      <c r="D31" s="136">
        <f ca="1">IFERROR(__xludf.DUMMYFUNCTION("""COMPUTED_VALUE"""),138)</f>
        <v>138</v>
      </c>
      <c r="E31" s="137">
        <f ca="1">IFERROR(__xludf.DUMMYFUNCTION("""COMPUTED_VALUE"""),65)</f>
        <v>65</v>
      </c>
      <c r="F31" s="137">
        <f ca="1">IFERROR(__xludf.DUMMYFUNCTION("""COMPUTED_VALUE"""),5)</f>
        <v>5</v>
      </c>
      <c r="G31" s="138">
        <f ca="1">IFERROR(__xludf.DUMMYFUNCTION("""COMPUTED_VALUE"""),203)</f>
        <v>203</v>
      </c>
      <c r="H31" s="136">
        <f ca="1">IFERROR(__xludf.DUMMYFUNCTION("""COMPUTED_VALUE"""),133)</f>
        <v>133</v>
      </c>
      <c r="I31" s="137">
        <f ca="1">IFERROR(__xludf.DUMMYFUNCTION("""COMPUTED_VALUE"""),63)</f>
        <v>63</v>
      </c>
      <c r="J31" s="137">
        <f ca="1">IFERROR(__xludf.DUMMYFUNCTION("""COMPUTED_VALUE"""),2)</f>
        <v>2</v>
      </c>
      <c r="K31" s="138">
        <f ca="1">IFERROR(__xludf.DUMMYFUNCTION("""COMPUTED_VALUE"""),196)</f>
        <v>196</v>
      </c>
      <c r="L31" s="137">
        <f ca="1">IFERROR(__xludf.DUMMYFUNCTION("""COMPUTED_VALUE"""),271)</f>
        <v>271</v>
      </c>
      <c r="M31" s="137">
        <f ca="1">IFERROR(__xludf.DUMMYFUNCTION("""COMPUTED_VALUE"""),128)</f>
        <v>128</v>
      </c>
      <c r="N31" s="137">
        <f ca="1">IFERROR(__xludf.DUMMYFUNCTION("""COMPUTED_VALUE"""),7)</f>
        <v>7</v>
      </c>
      <c r="O31" s="138">
        <f ca="1">IFERROR(__xludf.DUMMYFUNCTION("""COMPUTED_VALUE"""),399)</f>
        <v>399</v>
      </c>
      <c r="P31" s="139">
        <f ca="1">IFERROR(__xludf.DUMMYFUNCTION("""COMPUTED_VALUE"""),748)</f>
        <v>748</v>
      </c>
      <c r="Q31" s="165"/>
      <c r="R31" s="159"/>
      <c r="S31" s="159"/>
      <c r="T31" s="140">
        <f ca="1">IFERROR(__xludf.DUMMYFUNCTION("""COMPUTED_VALUE"""),214)</f>
        <v>214</v>
      </c>
      <c r="U31" s="140">
        <f ca="1">IFERROR(__xludf.DUMMYFUNCTION("""COMPUTED_VALUE"""),25)</f>
        <v>25</v>
      </c>
      <c r="V31" s="159"/>
      <c r="W31" s="141" t="str">
        <f ca="1">IFERROR(__xludf.DUMMYFUNCTION("""COMPUTED_VALUE"""),"TV")</f>
        <v>TV</v>
      </c>
      <c r="X31" s="141"/>
      <c r="Y31" s="141" t="str">
        <f ca="1">IFERROR(__xludf.DUMMYFUNCTION("""COMPUTED_VALUE"""),"R")</f>
        <v>R</v>
      </c>
      <c r="Z31" s="141"/>
      <c r="AA31" s="8" t="str">
        <f ca="1">IFERROR(__xludf.DUMMYFUNCTION("""COMPUTED_VALUE"""),"Ž")</f>
        <v>Ž</v>
      </c>
    </row>
    <row r="32" spans="1:27" ht="12.75" x14ac:dyDescent="0.2">
      <c r="A32" s="172">
        <v>16</v>
      </c>
      <c r="B32" s="127"/>
      <c r="C32" s="128"/>
      <c r="D32" s="129"/>
      <c r="E32" s="130"/>
      <c r="F32" s="130"/>
      <c r="G32" s="131"/>
      <c r="H32" s="129"/>
      <c r="I32" s="130"/>
      <c r="J32" s="130"/>
      <c r="K32" s="131"/>
      <c r="L32" s="130"/>
      <c r="M32" s="130"/>
      <c r="N32" s="130"/>
      <c r="O32" s="131"/>
      <c r="P32" s="132"/>
      <c r="Q32" s="173"/>
      <c r="R32" s="174"/>
      <c r="S32" s="174"/>
      <c r="T32" s="133"/>
      <c r="U32" s="133"/>
      <c r="V32" s="175"/>
    </row>
    <row r="33" spans="1:26" ht="12.75" x14ac:dyDescent="0.2">
      <c r="A33" s="165"/>
      <c r="B33" s="134"/>
      <c r="C33" s="135"/>
      <c r="D33" s="136"/>
      <c r="E33" s="137"/>
      <c r="F33" s="137"/>
      <c r="G33" s="138"/>
      <c r="H33" s="136"/>
      <c r="I33" s="137"/>
      <c r="J33" s="137"/>
      <c r="K33" s="138"/>
      <c r="L33" s="137"/>
      <c r="M33" s="137"/>
      <c r="N33" s="137"/>
      <c r="O33" s="138"/>
      <c r="P33" s="139"/>
      <c r="Q33" s="165"/>
      <c r="R33" s="159"/>
      <c r="S33" s="159"/>
      <c r="T33" s="140"/>
      <c r="U33" s="140"/>
      <c r="V33" s="159"/>
      <c r="W33" s="141"/>
      <c r="X33" s="141"/>
      <c r="Y33" s="141"/>
      <c r="Z33" s="141"/>
    </row>
    <row r="34" spans="1:26" ht="12.75" x14ac:dyDescent="0.2">
      <c r="A34" s="172">
        <v>17</v>
      </c>
      <c r="B34" s="127"/>
      <c r="C34" s="128"/>
      <c r="D34" s="129"/>
      <c r="E34" s="130"/>
      <c r="F34" s="130"/>
      <c r="G34" s="131"/>
      <c r="H34" s="129"/>
      <c r="I34" s="130"/>
      <c r="J34" s="130"/>
      <c r="K34" s="131"/>
      <c r="L34" s="130"/>
      <c r="M34" s="130"/>
      <c r="N34" s="130"/>
      <c r="O34" s="131"/>
      <c r="P34" s="132"/>
      <c r="Q34" s="173"/>
      <c r="R34" s="174"/>
      <c r="S34" s="174"/>
      <c r="T34" s="133"/>
      <c r="U34" s="133"/>
      <c r="V34" s="175"/>
    </row>
    <row r="35" spans="1:26" ht="12.75" x14ac:dyDescent="0.2">
      <c r="A35" s="165"/>
      <c r="B35" s="134"/>
      <c r="C35" s="135"/>
      <c r="D35" s="136"/>
      <c r="E35" s="137"/>
      <c r="F35" s="137"/>
      <c r="G35" s="138"/>
      <c r="H35" s="136"/>
      <c r="I35" s="137"/>
      <c r="J35" s="137"/>
      <c r="K35" s="138"/>
      <c r="L35" s="137"/>
      <c r="M35" s="137"/>
      <c r="N35" s="137"/>
      <c r="O35" s="138"/>
      <c r="P35" s="139"/>
      <c r="Q35" s="165"/>
      <c r="R35" s="159"/>
      <c r="S35" s="159"/>
      <c r="T35" s="140"/>
      <c r="U35" s="140"/>
      <c r="V35" s="159"/>
      <c r="W35" s="141"/>
      <c r="X35" s="141"/>
      <c r="Y35" s="141"/>
      <c r="Z35" s="141"/>
    </row>
    <row r="36" spans="1:26" ht="12.75" x14ac:dyDescent="0.2">
      <c r="A36" s="172">
        <v>18</v>
      </c>
      <c r="B36" s="127"/>
      <c r="C36" s="128"/>
      <c r="D36" s="129"/>
      <c r="E36" s="130"/>
      <c r="F36" s="130"/>
      <c r="G36" s="131"/>
      <c r="H36" s="129"/>
      <c r="I36" s="130"/>
      <c r="J36" s="130"/>
      <c r="K36" s="131"/>
      <c r="L36" s="130"/>
      <c r="M36" s="130"/>
      <c r="N36" s="130"/>
      <c r="O36" s="131"/>
      <c r="P36" s="132"/>
      <c r="Q36" s="173"/>
      <c r="R36" s="174"/>
      <c r="S36" s="174"/>
      <c r="T36" s="133"/>
      <c r="U36" s="133"/>
      <c r="V36" s="175"/>
    </row>
    <row r="37" spans="1:26" ht="12.75" x14ac:dyDescent="0.2">
      <c r="A37" s="165"/>
      <c r="B37" s="134"/>
      <c r="C37" s="135"/>
      <c r="D37" s="136"/>
      <c r="E37" s="137"/>
      <c r="F37" s="137"/>
      <c r="G37" s="138"/>
      <c r="H37" s="136"/>
      <c r="I37" s="137"/>
      <c r="J37" s="137"/>
      <c r="K37" s="138"/>
      <c r="L37" s="137"/>
      <c r="M37" s="137"/>
      <c r="N37" s="137"/>
      <c r="O37" s="138"/>
      <c r="P37" s="139"/>
      <c r="Q37" s="165"/>
      <c r="R37" s="159"/>
      <c r="S37" s="159"/>
      <c r="T37" s="140"/>
      <c r="U37" s="140"/>
      <c r="V37" s="159"/>
      <c r="W37" s="141"/>
      <c r="X37" s="141"/>
      <c r="Y37" s="141"/>
      <c r="Z37" s="141"/>
    </row>
    <row r="38" spans="1:26" ht="12.75" x14ac:dyDescent="0.2">
      <c r="A38" s="172">
        <v>19</v>
      </c>
      <c r="B38" s="127"/>
      <c r="C38" s="128"/>
      <c r="D38" s="129"/>
      <c r="E38" s="130"/>
      <c r="F38" s="130"/>
      <c r="G38" s="131"/>
      <c r="H38" s="129"/>
      <c r="I38" s="130"/>
      <c r="J38" s="130"/>
      <c r="K38" s="131"/>
      <c r="L38" s="130"/>
      <c r="M38" s="130"/>
      <c r="N38" s="130"/>
      <c r="O38" s="131"/>
      <c r="P38" s="132"/>
      <c r="Q38" s="173"/>
      <c r="R38" s="174"/>
      <c r="S38" s="174"/>
      <c r="T38" s="133"/>
      <c r="U38" s="133"/>
      <c r="V38" s="175"/>
    </row>
    <row r="39" spans="1:26" ht="12.75" x14ac:dyDescent="0.2">
      <c r="A39" s="165"/>
      <c r="B39" s="134"/>
      <c r="C39" s="135"/>
      <c r="D39" s="136"/>
      <c r="E39" s="137"/>
      <c r="F39" s="137"/>
      <c r="G39" s="138"/>
      <c r="H39" s="136"/>
      <c r="I39" s="137"/>
      <c r="J39" s="137"/>
      <c r="K39" s="138"/>
      <c r="L39" s="137"/>
      <c r="M39" s="137"/>
      <c r="N39" s="137"/>
      <c r="O39" s="138"/>
      <c r="P39" s="139"/>
      <c r="Q39" s="165"/>
      <c r="R39" s="159"/>
      <c r="S39" s="159"/>
      <c r="T39" s="140"/>
      <c r="U39" s="140"/>
      <c r="V39" s="159"/>
      <c r="W39" s="141"/>
      <c r="X39" s="141"/>
      <c r="Y39" s="141"/>
      <c r="Z39" s="141"/>
    </row>
    <row r="40" spans="1:26" ht="12.75" x14ac:dyDescent="0.2">
      <c r="A40" s="172">
        <v>20</v>
      </c>
      <c r="B40" s="127"/>
      <c r="C40" s="128"/>
      <c r="D40" s="129"/>
      <c r="E40" s="130"/>
      <c r="F40" s="130"/>
      <c r="G40" s="131"/>
      <c r="H40" s="129"/>
      <c r="I40" s="130"/>
      <c r="J40" s="130"/>
      <c r="K40" s="131"/>
      <c r="L40" s="130"/>
      <c r="M40" s="130"/>
      <c r="N40" s="130"/>
      <c r="O40" s="131"/>
      <c r="P40" s="132"/>
      <c r="Q40" s="173"/>
      <c r="R40" s="174"/>
      <c r="S40" s="174"/>
      <c r="T40" s="133"/>
      <c r="U40" s="133"/>
      <c r="V40" s="175"/>
    </row>
    <row r="41" spans="1:26" ht="12.75" x14ac:dyDescent="0.2">
      <c r="A41" s="165"/>
      <c r="B41" s="134"/>
      <c r="C41" s="135"/>
      <c r="D41" s="136"/>
      <c r="E41" s="137"/>
      <c r="F41" s="137"/>
      <c r="G41" s="138"/>
      <c r="H41" s="136"/>
      <c r="I41" s="137"/>
      <c r="J41" s="137"/>
      <c r="K41" s="138"/>
      <c r="L41" s="137"/>
      <c r="M41" s="137"/>
      <c r="N41" s="137"/>
      <c r="O41" s="138"/>
      <c r="P41" s="139"/>
      <c r="Q41" s="165"/>
      <c r="R41" s="159"/>
      <c r="S41" s="159"/>
      <c r="T41" s="140"/>
      <c r="U41" s="140"/>
      <c r="V41" s="159"/>
      <c r="W41" s="141"/>
      <c r="X41" s="141"/>
      <c r="Y41" s="141"/>
      <c r="Z41" s="141"/>
    </row>
    <row r="42" spans="1:26" ht="12.75" x14ac:dyDescent="0.2">
      <c r="A42" s="172">
        <v>21</v>
      </c>
      <c r="B42" s="127"/>
      <c r="C42" s="128"/>
      <c r="D42" s="129"/>
      <c r="E42" s="130"/>
      <c r="F42" s="130"/>
      <c r="G42" s="131"/>
      <c r="H42" s="129"/>
      <c r="I42" s="130"/>
      <c r="J42" s="130"/>
      <c r="K42" s="131"/>
      <c r="L42" s="130"/>
      <c r="M42" s="130"/>
      <c r="N42" s="130"/>
      <c r="O42" s="131"/>
      <c r="P42" s="132"/>
      <c r="Q42" s="173"/>
      <c r="R42" s="174"/>
      <c r="S42" s="174"/>
      <c r="T42" s="133"/>
      <c r="U42" s="133"/>
      <c r="V42" s="175"/>
    </row>
    <row r="43" spans="1:26" ht="12.75" x14ac:dyDescent="0.2">
      <c r="A43" s="165"/>
      <c r="B43" s="134"/>
      <c r="C43" s="135"/>
      <c r="D43" s="136"/>
      <c r="E43" s="137"/>
      <c r="F43" s="137"/>
      <c r="G43" s="138"/>
      <c r="H43" s="136"/>
      <c r="I43" s="137"/>
      <c r="J43" s="137"/>
      <c r="K43" s="138"/>
      <c r="L43" s="137"/>
      <c r="M43" s="137"/>
      <c r="N43" s="137"/>
      <c r="O43" s="138"/>
      <c r="P43" s="139"/>
      <c r="Q43" s="165"/>
      <c r="R43" s="159"/>
      <c r="S43" s="159"/>
      <c r="T43" s="140"/>
      <c r="U43" s="140"/>
      <c r="V43" s="159"/>
      <c r="W43" s="141"/>
      <c r="X43" s="141"/>
      <c r="Y43" s="141"/>
      <c r="Z43" s="141"/>
    </row>
    <row r="44" spans="1:26" ht="12.75" x14ac:dyDescent="0.2">
      <c r="A44" s="172">
        <v>22</v>
      </c>
      <c r="B44" s="127"/>
      <c r="C44" s="128"/>
      <c r="D44" s="129"/>
      <c r="E44" s="130"/>
      <c r="F44" s="130"/>
      <c r="G44" s="131"/>
      <c r="H44" s="129"/>
      <c r="I44" s="130"/>
      <c r="J44" s="130"/>
      <c r="K44" s="131"/>
      <c r="L44" s="130"/>
      <c r="M44" s="130"/>
      <c r="N44" s="130"/>
      <c r="O44" s="131"/>
      <c r="P44" s="132"/>
      <c r="Q44" s="173"/>
      <c r="R44" s="174"/>
      <c r="S44" s="174"/>
      <c r="T44" s="133"/>
      <c r="U44" s="133"/>
      <c r="V44" s="175"/>
    </row>
    <row r="45" spans="1:26" ht="12.75" x14ac:dyDescent="0.2">
      <c r="A45" s="165"/>
      <c r="B45" s="134"/>
      <c r="C45" s="135"/>
      <c r="D45" s="136"/>
      <c r="E45" s="137"/>
      <c r="F45" s="137"/>
      <c r="G45" s="138"/>
      <c r="H45" s="136"/>
      <c r="I45" s="137"/>
      <c r="J45" s="137"/>
      <c r="K45" s="138"/>
      <c r="L45" s="137"/>
      <c r="M45" s="137"/>
      <c r="N45" s="137"/>
      <c r="O45" s="138"/>
      <c r="P45" s="139"/>
      <c r="Q45" s="165"/>
      <c r="R45" s="159"/>
      <c r="S45" s="159"/>
      <c r="T45" s="140"/>
      <c r="U45" s="140"/>
      <c r="V45" s="159"/>
      <c r="W45" s="141"/>
      <c r="X45" s="141"/>
      <c r="Y45" s="141"/>
      <c r="Z45" s="141"/>
    </row>
    <row r="46" spans="1:26" ht="12.75" x14ac:dyDescent="0.2">
      <c r="A46" s="172">
        <v>23</v>
      </c>
      <c r="B46" s="127"/>
      <c r="C46" s="128"/>
      <c r="D46" s="129"/>
      <c r="E46" s="130"/>
      <c r="F46" s="130"/>
      <c r="G46" s="131"/>
      <c r="H46" s="129"/>
      <c r="I46" s="130"/>
      <c r="J46" s="130"/>
      <c r="K46" s="131"/>
      <c r="L46" s="130"/>
      <c r="M46" s="130"/>
      <c r="N46" s="130"/>
      <c r="O46" s="131"/>
      <c r="P46" s="132"/>
      <c r="Q46" s="173"/>
      <c r="R46" s="174"/>
      <c r="S46" s="174"/>
      <c r="T46" s="133"/>
      <c r="U46" s="133"/>
      <c r="V46" s="175"/>
    </row>
    <row r="47" spans="1:26" ht="12.75" x14ac:dyDescent="0.2">
      <c r="A47" s="165"/>
      <c r="B47" s="134"/>
      <c r="C47" s="135"/>
      <c r="D47" s="136"/>
      <c r="E47" s="137"/>
      <c r="F47" s="137"/>
      <c r="G47" s="138"/>
      <c r="H47" s="136"/>
      <c r="I47" s="137"/>
      <c r="J47" s="137"/>
      <c r="K47" s="138"/>
      <c r="L47" s="137"/>
      <c r="M47" s="137"/>
      <c r="N47" s="137"/>
      <c r="O47" s="138"/>
      <c r="P47" s="139"/>
      <c r="Q47" s="165"/>
      <c r="R47" s="159"/>
      <c r="S47" s="159"/>
      <c r="T47" s="140"/>
      <c r="U47" s="140"/>
      <c r="V47" s="159"/>
      <c r="W47" s="141"/>
      <c r="X47" s="141"/>
      <c r="Y47" s="141"/>
      <c r="Z47" s="141"/>
    </row>
    <row r="48" spans="1:26" ht="12.75" x14ac:dyDescent="0.2">
      <c r="A48" s="172">
        <v>24</v>
      </c>
      <c r="B48" s="127"/>
      <c r="C48" s="128"/>
      <c r="D48" s="129"/>
      <c r="E48" s="130"/>
      <c r="F48" s="130"/>
      <c r="G48" s="131"/>
      <c r="H48" s="129"/>
      <c r="I48" s="130"/>
      <c r="J48" s="130"/>
      <c r="K48" s="131"/>
      <c r="L48" s="130"/>
      <c r="M48" s="130"/>
      <c r="N48" s="130"/>
      <c r="O48" s="131"/>
      <c r="P48" s="132"/>
      <c r="Q48" s="173"/>
      <c r="R48" s="174"/>
      <c r="S48" s="174"/>
      <c r="T48" s="133"/>
      <c r="U48" s="133"/>
      <c r="V48" s="175"/>
    </row>
    <row r="49" spans="1:26" ht="12.75" x14ac:dyDescent="0.2">
      <c r="A49" s="165"/>
      <c r="B49" s="134"/>
      <c r="C49" s="135"/>
      <c r="D49" s="136"/>
      <c r="E49" s="137"/>
      <c r="F49" s="137"/>
      <c r="G49" s="138"/>
      <c r="H49" s="136"/>
      <c r="I49" s="137"/>
      <c r="J49" s="137"/>
      <c r="K49" s="138"/>
      <c r="L49" s="137"/>
      <c r="M49" s="137"/>
      <c r="N49" s="137"/>
      <c r="O49" s="138"/>
      <c r="P49" s="139"/>
      <c r="Q49" s="165"/>
      <c r="R49" s="159"/>
      <c r="S49" s="159"/>
      <c r="T49" s="140"/>
      <c r="U49" s="140"/>
      <c r="V49" s="159"/>
      <c r="W49" s="141"/>
      <c r="X49" s="141"/>
      <c r="Y49" s="141"/>
      <c r="Z49" s="141"/>
    </row>
    <row r="50" spans="1:26" ht="12.75" x14ac:dyDescent="0.2">
      <c r="A50" s="172">
        <v>25</v>
      </c>
      <c r="B50" s="127"/>
      <c r="C50" s="128"/>
      <c r="D50" s="129"/>
      <c r="E50" s="130"/>
      <c r="F50" s="130"/>
      <c r="G50" s="131"/>
      <c r="H50" s="129"/>
      <c r="I50" s="130"/>
      <c r="J50" s="130"/>
      <c r="K50" s="131"/>
      <c r="L50" s="130"/>
      <c r="M50" s="130"/>
      <c r="N50" s="130"/>
      <c r="O50" s="131"/>
      <c r="P50" s="132"/>
      <c r="Q50" s="173"/>
      <c r="R50" s="174"/>
      <c r="S50" s="174"/>
      <c r="T50" s="133"/>
      <c r="U50" s="133"/>
      <c r="V50" s="175"/>
    </row>
    <row r="51" spans="1:26" ht="12.75" x14ac:dyDescent="0.2">
      <c r="A51" s="165"/>
      <c r="B51" s="134"/>
      <c r="C51" s="135"/>
      <c r="D51" s="136"/>
      <c r="E51" s="137"/>
      <c r="F51" s="137"/>
      <c r="G51" s="138"/>
      <c r="H51" s="136"/>
      <c r="I51" s="137"/>
      <c r="J51" s="137"/>
      <c r="K51" s="138"/>
      <c r="L51" s="137"/>
      <c r="M51" s="137"/>
      <c r="N51" s="137"/>
      <c r="O51" s="138"/>
      <c r="P51" s="139"/>
      <c r="Q51" s="165"/>
      <c r="R51" s="159"/>
      <c r="S51" s="159"/>
      <c r="T51" s="140"/>
      <c r="U51" s="140"/>
      <c r="V51" s="159"/>
      <c r="W51" s="141"/>
      <c r="X51" s="141"/>
      <c r="Y51" s="141"/>
      <c r="Z51" s="141"/>
    </row>
    <row r="52" spans="1:26" ht="12.75" x14ac:dyDescent="0.2">
      <c r="A52" s="172">
        <v>26</v>
      </c>
      <c r="B52" s="127"/>
      <c r="C52" s="128"/>
      <c r="D52" s="129"/>
      <c r="E52" s="130"/>
      <c r="F52" s="130"/>
      <c r="G52" s="131"/>
      <c r="H52" s="129"/>
      <c r="I52" s="130"/>
      <c r="J52" s="130"/>
      <c r="K52" s="131"/>
      <c r="L52" s="130"/>
      <c r="M52" s="130"/>
      <c r="N52" s="130"/>
      <c r="O52" s="131"/>
      <c r="P52" s="132"/>
      <c r="Q52" s="173"/>
      <c r="R52" s="174"/>
      <c r="S52" s="174"/>
      <c r="T52" s="133"/>
      <c r="U52" s="133"/>
      <c r="V52" s="175"/>
    </row>
    <row r="53" spans="1:26" ht="12.75" x14ac:dyDescent="0.2">
      <c r="A53" s="165"/>
      <c r="B53" s="134"/>
      <c r="C53" s="135"/>
      <c r="D53" s="136"/>
      <c r="E53" s="137"/>
      <c r="F53" s="137"/>
      <c r="G53" s="138"/>
      <c r="H53" s="136"/>
      <c r="I53" s="137"/>
      <c r="J53" s="137"/>
      <c r="K53" s="138"/>
      <c r="L53" s="137"/>
      <c r="M53" s="137"/>
      <c r="N53" s="137"/>
      <c r="O53" s="138"/>
      <c r="P53" s="139"/>
      <c r="Q53" s="165"/>
      <c r="R53" s="159"/>
      <c r="S53" s="159"/>
      <c r="T53" s="140"/>
      <c r="U53" s="140"/>
      <c r="V53" s="159"/>
      <c r="W53" s="141"/>
      <c r="X53" s="141"/>
      <c r="Y53" s="141"/>
      <c r="Z53" s="141"/>
    </row>
    <row r="54" spans="1:26" ht="12.75" x14ac:dyDescent="0.2">
      <c r="A54" s="172">
        <v>27</v>
      </c>
      <c r="B54" s="127"/>
      <c r="C54" s="128"/>
      <c r="D54" s="129"/>
      <c r="E54" s="130"/>
      <c r="F54" s="130"/>
      <c r="G54" s="131"/>
      <c r="H54" s="129"/>
      <c r="I54" s="130"/>
      <c r="J54" s="130"/>
      <c r="K54" s="131"/>
      <c r="L54" s="130"/>
      <c r="M54" s="130"/>
      <c r="N54" s="130"/>
      <c r="O54" s="131"/>
      <c r="P54" s="132"/>
      <c r="Q54" s="173"/>
      <c r="R54" s="174"/>
      <c r="S54" s="174"/>
      <c r="T54" s="133"/>
      <c r="U54" s="133"/>
      <c r="V54" s="175"/>
    </row>
    <row r="55" spans="1:26" ht="12.75" x14ac:dyDescent="0.2">
      <c r="A55" s="180"/>
      <c r="B55" s="134"/>
      <c r="C55" s="135"/>
      <c r="D55" s="136"/>
      <c r="E55" s="137"/>
      <c r="F55" s="137"/>
      <c r="G55" s="138"/>
      <c r="H55" s="136"/>
      <c r="I55" s="137"/>
      <c r="J55" s="137"/>
      <c r="K55" s="138"/>
      <c r="L55" s="137"/>
      <c r="M55" s="137"/>
      <c r="N55" s="137"/>
      <c r="O55" s="138"/>
      <c r="P55" s="139"/>
      <c r="Q55" s="165"/>
      <c r="R55" s="159"/>
      <c r="S55" s="159"/>
      <c r="T55" s="140"/>
      <c r="U55" s="140"/>
      <c r="V55" s="159"/>
      <c r="W55" s="141"/>
      <c r="X55" s="141"/>
      <c r="Y55" s="141"/>
      <c r="Z55" s="141"/>
    </row>
    <row r="56" spans="1:26" ht="12.75" x14ac:dyDescent="0.2">
      <c r="A56" s="172">
        <v>28</v>
      </c>
      <c r="B56" s="127"/>
      <c r="C56" s="128"/>
      <c r="D56" s="129"/>
      <c r="E56" s="130"/>
      <c r="F56" s="130"/>
      <c r="G56" s="131"/>
      <c r="H56" s="129"/>
      <c r="I56" s="130"/>
      <c r="J56" s="130"/>
      <c r="K56" s="131"/>
      <c r="L56" s="130"/>
      <c r="M56" s="130"/>
      <c r="N56" s="130"/>
      <c r="O56" s="131"/>
      <c r="P56" s="132"/>
      <c r="Q56" s="173"/>
      <c r="R56" s="174"/>
      <c r="S56" s="174"/>
      <c r="T56" s="133"/>
      <c r="U56" s="133"/>
      <c r="V56" s="175"/>
    </row>
    <row r="57" spans="1:26" ht="12.75" x14ac:dyDescent="0.2">
      <c r="A57" s="180"/>
      <c r="B57" s="134"/>
      <c r="C57" s="135"/>
      <c r="D57" s="136"/>
      <c r="E57" s="137"/>
      <c r="F57" s="137"/>
      <c r="G57" s="138"/>
      <c r="H57" s="136"/>
      <c r="I57" s="137"/>
      <c r="J57" s="137"/>
      <c r="K57" s="138"/>
      <c r="L57" s="137"/>
      <c r="M57" s="137"/>
      <c r="N57" s="137"/>
      <c r="O57" s="138"/>
      <c r="P57" s="139"/>
      <c r="Q57" s="165"/>
      <c r="R57" s="159"/>
      <c r="S57" s="159"/>
      <c r="T57" s="140"/>
      <c r="U57" s="140"/>
      <c r="V57" s="159"/>
      <c r="W57" s="141"/>
      <c r="X57" s="141"/>
      <c r="Y57" s="141"/>
      <c r="Z57" s="141"/>
    </row>
    <row r="58" spans="1:26" ht="12.75" x14ac:dyDescent="0.2">
      <c r="A58" s="172">
        <v>29</v>
      </c>
      <c r="B58" s="127"/>
      <c r="C58" s="128"/>
      <c r="D58" s="129"/>
      <c r="E58" s="130"/>
      <c r="F58" s="130"/>
      <c r="G58" s="131"/>
      <c r="H58" s="129"/>
      <c r="I58" s="130"/>
      <c r="J58" s="130"/>
      <c r="K58" s="131"/>
      <c r="L58" s="130"/>
      <c r="M58" s="130"/>
      <c r="N58" s="130"/>
      <c r="O58" s="131"/>
      <c r="P58" s="132"/>
      <c r="Q58" s="173"/>
      <c r="R58" s="174"/>
      <c r="S58" s="174"/>
      <c r="T58" s="133"/>
      <c r="U58" s="133"/>
      <c r="V58" s="175"/>
    </row>
    <row r="59" spans="1:26" ht="12.75" x14ac:dyDescent="0.2">
      <c r="A59" s="180"/>
      <c r="B59" s="134"/>
      <c r="C59" s="135"/>
      <c r="D59" s="136"/>
      <c r="E59" s="137"/>
      <c r="F59" s="137"/>
      <c r="G59" s="138"/>
      <c r="H59" s="136"/>
      <c r="I59" s="137"/>
      <c r="J59" s="137"/>
      <c r="K59" s="138"/>
      <c r="L59" s="137"/>
      <c r="M59" s="137"/>
      <c r="N59" s="137"/>
      <c r="O59" s="138"/>
      <c r="P59" s="139"/>
      <c r="Q59" s="165"/>
      <c r="R59" s="159"/>
      <c r="S59" s="159"/>
      <c r="T59" s="140"/>
      <c r="U59" s="140"/>
      <c r="V59" s="159"/>
      <c r="W59" s="141"/>
      <c r="X59" s="141"/>
      <c r="Y59" s="141"/>
      <c r="Z59" s="141"/>
    </row>
    <row r="60" spans="1:26" ht="12.75" x14ac:dyDescent="0.2">
      <c r="A60" s="172">
        <v>30</v>
      </c>
      <c r="B60" s="127"/>
      <c r="C60" s="128"/>
      <c r="D60" s="129"/>
      <c r="E60" s="130"/>
      <c r="F60" s="130"/>
      <c r="G60" s="131"/>
      <c r="H60" s="129"/>
      <c r="I60" s="130"/>
      <c r="J60" s="130"/>
      <c r="K60" s="131"/>
      <c r="L60" s="130"/>
      <c r="M60" s="130"/>
      <c r="N60" s="130"/>
      <c r="O60" s="131"/>
      <c r="P60" s="132"/>
      <c r="Q60" s="173"/>
      <c r="R60" s="174"/>
      <c r="S60" s="174"/>
      <c r="T60" s="133"/>
      <c r="U60" s="133"/>
      <c r="V60" s="175"/>
    </row>
    <row r="61" spans="1:26" ht="12.75" x14ac:dyDescent="0.2">
      <c r="A61" s="180"/>
      <c r="B61" s="134"/>
      <c r="C61" s="135"/>
      <c r="D61" s="136"/>
      <c r="E61" s="137"/>
      <c r="F61" s="137"/>
      <c r="G61" s="138"/>
      <c r="H61" s="136"/>
      <c r="I61" s="137"/>
      <c r="J61" s="137"/>
      <c r="K61" s="138"/>
      <c r="L61" s="137"/>
      <c r="M61" s="137"/>
      <c r="N61" s="137"/>
      <c r="O61" s="138"/>
      <c r="P61" s="139"/>
      <c r="Q61" s="165"/>
      <c r="R61" s="159"/>
      <c r="S61" s="159"/>
      <c r="T61" s="140"/>
      <c r="U61" s="140"/>
      <c r="V61" s="159"/>
      <c r="W61" s="141"/>
      <c r="X61" s="141"/>
      <c r="Y61" s="141"/>
      <c r="Z61" s="141"/>
    </row>
    <row r="62" spans="1:26" ht="12.75" x14ac:dyDescent="0.2">
      <c r="A62" s="172">
        <v>31</v>
      </c>
      <c r="B62" s="127"/>
      <c r="C62" s="128"/>
      <c r="D62" s="129"/>
      <c r="E62" s="130"/>
      <c r="F62" s="130"/>
      <c r="G62" s="131"/>
      <c r="H62" s="129"/>
      <c r="I62" s="130"/>
      <c r="J62" s="130"/>
      <c r="K62" s="131"/>
      <c r="L62" s="130"/>
      <c r="M62" s="130"/>
      <c r="N62" s="130"/>
      <c r="O62" s="131"/>
      <c r="P62" s="132"/>
      <c r="Q62" s="173"/>
      <c r="R62" s="174"/>
      <c r="S62" s="174"/>
      <c r="T62" s="133"/>
      <c r="U62" s="133"/>
      <c r="V62" s="175"/>
    </row>
    <row r="63" spans="1:26" ht="12.75" x14ac:dyDescent="0.2">
      <c r="A63" s="180"/>
      <c r="B63" s="134"/>
      <c r="C63" s="135"/>
      <c r="D63" s="136"/>
      <c r="E63" s="137"/>
      <c r="F63" s="137"/>
      <c r="G63" s="138"/>
      <c r="H63" s="136"/>
      <c r="I63" s="137"/>
      <c r="J63" s="137"/>
      <c r="K63" s="138"/>
      <c r="L63" s="137"/>
      <c r="M63" s="137"/>
      <c r="N63" s="137"/>
      <c r="O63" s="138"/>
      <c r="P63" s="139"/>
      <c r="Q63" s="165"/>
      <c r="R63" s="159"/>
      <c r="S63" s="159"/>
      <c r="T63" s="140"/>
      <c r="U63" s="140"/>
      <c r="V63" s="159"/>
      <c r="W63" s="141"/>
      <c r="X63" s="141"/>
      <c r="Y63" s="141"/>
      <c r="Z63" s="141"/>
    </row>
    <row r="64" spans="1:26" ht="12.75" x14ac:dyDescent="0.2">
      <c r="A64" s="172">
        <v>32</v>
      </c>
      <c r="B64" s="127"/>
      <c r="C64" s="128"/>
      <c r="D64" s="129"/>
      <c r="E64" s="130"/>
      <c r="F64" s="130"/>
      <c r="G64" s="131"/>
      <c r="H64" s="129"/>
      <c r="I64" s="130"/>
      <c r="J64" s="130"/>
      <c r="K64" s="131"/>
      <c r="L64" s="130"/>
      <c r="M64" s="130"/>
      <c r="N64" s="130"/>
      <c r="O64" s="131"/>
      <c r="P64" s="132"/>
      <c r="Q64" s="173"/>
      <c r="R64" s="174"/>
      <c r="S64" s="174"/>
      <c r="T64" s="133"/>
      <c r="U64" s="133"/>
      <c r="V64" s="175"/>
    </row>
    <row r="65" spans="1:26" ht="12.75" x14ac:dyDescent="0.2">
      <c r="A65" s="180"/>
      <c r="B65" s="134"/>
      <c r="C65" s="135"/>
      <c r="D65" s="136"/>
      <c r="E65" s="137"/>
      <c r="F65" s="137"/>
      <c r="G65" s="138"/>
      <c r="H65" s="136"/>
      <c r="I65" s="137"/>
      <c r="J65" s="137"/>
      <c r="K65" s="138"/>
      <c r="L65" s="137"/>
      <c r="M65" s="137"/>
      <c r="N65" s="137"/>
      <c r="O65" s="138"/>
      <c r="P65" s="139"/>
      <c r="Q65" s="165"/>
      <c r="R65" s="159"/>
      <c r="S65" s="159"/>
      <c r="T65" s="140"/>
      <c r="U65" s="140"/>
      <c r="V65" s="159"/>
      <c r="W65" s="141"/>
      <c r="X65" s="141"/>
      <c r="Y65" s="141"/>
      <c r="Z65" s="141"/>
    </row>
    <row r="66" spans="1:26" ht="12.75" x14ac:dyDescent="0.2">
      <c r="A66" s="172">
        <v>33</v>
      </c>
      <c r="B66" s="127"/>
      <c r="C66" s="128"/>
      <c r="D66" s="129"/>
      <c r="E66" s="130"/>
      <c r="F66" s="130"/>
      <c r="G66" s="131"/>
      <c r="H66" s="129"/>
      <c r="I66" s="130"/>
      <c r="J66" s="130"/>
      <c r="K66" s="131"/>
      <c r="L66" s="130"/>
      <c r="M66" s="130"/>
      <c r="N66" s="130"/>
      <c r="O66" s="131"/>
      <c r="P66" s="132"/>
      <c r="Q66" s="173"/>
      <c r="R66" s="174"/>
      <c r="S66" s="174"/>
      <c r="T66" s="133"/>
      <c r="U66" s="133"/>
      <c r="V66" s="175"/>
    </row>
    <row r="67" spans="1:26" ht="12.75" x14ac:dyDescent="0.2">
      <c r="A67" s="180"/>
      <c r="B67" s="134"/>
      <c r="C67" s="135"/>
      <c r="D67" s="136"/>
      <c r="E67" s="137"/>
      <c r="F67" s="137"/>
      <c r="G67" s="138"/>
      <c r="H67" s="136"/>
      <c r="I67" s="137"/>
      <c r="J67" s="137"/>
      <c r="K67" s="138"/>
      <c r="L67" s="137"/>
      <c r="M67" s="137"/>
      <c r="N67" s="137"/>
      <c r="O67" s="138"/>
      <c r="P67" s="139"/>
      <c r="Q67" s="165"/>
      <c r="R67" s="159"/>
      <c r="S67" s="159"/>
      <c r="T67" s="140"/>
      <c r="U67" s="140"/>
      <c r="V67" s="159"/>
      <c r="W67" s="141"/>
      <c r="X67" s="141"/>
      <c r="Y67" s="141"/>
      <c r="Z67" s="141"/>
    </row>
    <row r="68" spans="1:26" ht="12.75" x14ac:dyDescent="0.2">
      <c r="A68" s="172">
        <v>34</v>
      </c>
      <c r="B68" s="127"/>
      <c r="C68" s="128"/>
      <c r="D68" s="129"/>
      <c r="E68" s="130"/>
      <c r="F68" s="130"/>
      <c r="G68" s="131"/>
      <c r="H68" s="129"/>
      <c r="I68" s="130"/>
      <c r="J68" s="130"/>
      <c r="K68" s="131"/>
      <c r="L68" s="130"/>
      <c r="M68" s="130"/>
      <c r="N68" s="130"/>
      <c r="O68" s="131"/>
      <c r="P68" s="132"/>
      <c r="Q68" s="173"/>
      <c r="R68" s="174"/>
      <c r="S68" s="174"/>
      <c r="T68" s="133"/>
      <c r="U68" s="133"/>
      <c r="V68" s="175"/>
    </row>
    <row r="69" spans="1:26" ht="12.75" x14ac:dyDescent="0.2">
      <c r="A69" s="180"/>
      <c r="B69" s="134"/>
      <c r="C69" s="135"/>
      <c r="D69" s="136"/>
      <c r="E69" s="137"/>
      <c r="F69" s="137"/>
      <c r="G69" s="138"/>
      <c r="H69" s="136"/>
      <c r="I69" s="137"/>
      <c r="J69" s="137"/>
      <c r="K69" s="138"/>
      <c r="L69" s="137"/>
      <c r="M69" s="137"/>
      <c r="N69" s="137"/>
      <c r="O69" s="138"/>
      <c r="P69" s="139"/>
      <c r="Q69" s="165"/>
      <c r="R69" s="159"/>
      <c r="S69" s="159"/>
      <c r="T69" s="140"/>
      <c r="U69" s="140"/>
      <c r="V69" s="159"/>
      <c r="W69" s="141"/>
      <c r="X69" s="141"/>
      <c r="Y69" s="141"/>
      <c r="Z69" s="141"/>
    </row>
    <row r="70" spans="1:26" ht="12.75" x14ac:dyDescent="0.2">
      <c r="A70" s="172">
        <v>35</v>
      </c>
      <c r="B70" s="127"/>
      <c r="C70" s="128"/>
      <c r="D70" s="129"/>
      <c r="E70" s="130"/>
      <c r="F70" s="130"/>
      <c r="G70" s="131"/>
      <c r="H70" s="129"/>
      <c r="I70" s="130"/>
      <c r="J70" s="130"/>
      <c r="K70" s="131"/>
      <c r="L70" s="130"/>
      <c r="M70" s="130"/>
      <c r="N70" s="130"/>
      <c r="O70" s="131"/>
      <c r="P70" s="132"/>
      <c r="Q70" s="173"/>
      <c r="R70" s="174"/>
      <c r="S70" s="174"/>
      <c r="T70" s="133"/>
      <c r="U70" s="133"/>
      <c r="V70" s="175"/>
    </row>
    <row r="71" spans="1:26" ht="12.75" x14ac:dyDescent="0.2">
      <c r="A71" s="180"/>
      <c r="B71" s="134"/>
      <c r="C71" s="135"/>
      <c r="D71" s="136"/>
      <c r="E71" s="137"/>
      <c r="F71" s="137"/>
      <c r="G71" s="138"/>
      <c r="H71" s="136"/>
      <c r="I71" s="137"/>
      <c r="J71" s="137"/>
      <c r="K71" s="138"/>
      <c r="L71" s="137"/>
      <c r="M71" s="137"/>
      <c r="N71" s="137"/>
      <c r="O71" s="138"/>
      <c r="P71" s="139"/>
      <c r="Q71" s="165"/>
      <c r="R71" s="159"/>
      <c r="S71" s="159"/>
      <c r="T71" s="140"/>
      <c r="U71" s="140"/>
      <c r="V71" s="159"/>
      <c r="W71" s="141"/>
      <c r="X71" s="141"/>
      <c r="Y71" s="141"/>
      <c r="Z71" s="141"/>
    </row>
    <row r="72" spans="1:26" ht="12.75" x14ac:dyDescent="0.2">
      <c r="A72" s="172">
        <v>36</v>
      </c>
      <c r="B72" s="127"/>
      <c r="C72" s="128"/>
      <c r="D72" s="129"/>
      <c r="E72" s="130"/>
      <c r="F72" s="130"/>
      <c r="G72" s="131"/>
      <c r="H72" s="129"/>
      <c r="I72" s="130"/>
      <c r="J72" s="130"/>
      <c r="K72" s="131"/>
      <c r="L72" s="130"/>
      <c r="M72" s="130"/>
      <c r="N72" s="130"/>
      <c r="O72" s="131"/>
      <c r="P72" s="132"/>
      <c r="Q72" s="173"/>
      <c r="R72" s="174"/>
      <c r="S72" s="174"/>
      <c r="T72" s="133"/>
      <c r="U72" s="133"/>
      <c r="V72" s="175"/>
    </row>
    <row r="73" spans="1:26" ht="12.75" x14ac:dyDescent="0.2">
      <c r="A73" s="180"/>
      <c r="B73" s="134"/>
      <c r="C73" s="135"/>
      <c r="D73" s="136"/>
      <c r="E73" s="137"/>
      <c r="F73" s="137"/>
      <c r="G73" s="138"/>
      <c r="H73" s="136"/>
      <c r="I73" s="137"/>
      <c r="J73" s="137"/>
      <c r="K73" s="138"/>
      <c r="L73" s="137"/>
      <c r="M73" s="137"/>
      <c r="N73" s="137"/>
      <c r="O73" s="138"/>
      <c r="P73" s="139"/>
      <c r="Q73" s="165"/>
      <c r="R73" s="159"/>
      <c r="S73" s="159"/>
      <c r="T73" s="140"/>
      <c r="U73" s="140"/>
      <c r="V73" s="159"/>
      <c r="W73" s="141"/>
      <c r="X73" s="141"/>
      <c r="Y73" s="141"/>
      <c r="Z73" s="141"/>
    </row>
    <row r="74" spans="1:26" ht="12.75" x14ac:dyDescent="0.2">
      <c r="A74" s="172">
        <v>37</v>
      </c>
      <c r="B74" s="127"/>
      <c r="C74" s="128"/>
      <c r="D74" s="129"/>
      <c r="E74" s="130"/>
      <c r="F74" s="130"/>
      <c r="G74" s="131"/>
      <c r="H74" s="129"/>
      <c r="I74" s="130"/>
      <c r="J74" s="130"/>
      <c r="K74" s="131"/>
      <c r="L74" s="130"/>
      <c r="M74" s="130"/>
      <c r="N74" s="130"/>
      <c r="O74" s="131"/>
      <c r="P74" s="132"/>
      <c r="Q74" s="173"/>
      <c r="R74" s="174"/>
      <c r="S74" s="174"/>
      <c r="T74" s="133"/>
      <c r="U74" s="133"/>
      <c r="V74" s="175"/>
    </row>
    <row r="75" spans="1:26" ht="12.75" x14ac:dyDescent="0.2">
      <c r="A75" s="180"/>
      <c r="B75" s="134"/>
      <c r="C75" s="135"/>
      <c r="D75" s="136"/>
      <c r="E75" s="137"/>
      <c r="F75" s="137"/>
      <c r="G75" s="138"/>
      <c r="H75" s="136"/>
      <c r="I75" s="137"/>
      <c r="J75" s="137"/>
      <c r="K75" s="138"/>
      <c r="L75" s="137"/>
      <c r="M75" s="137"/>
      <c r="N75" s="137"/>
      <c r="O75" s="138"/>
      <c r="P75" s="139"/>
      <c r="Q75" s="165"/>
      <c r="R75" s="159"/>
      <c r="S75" s="159"/>
      <c r="T75" s="140"/>
      <c r="U75" s="140"/>
      <c r="V75" s="159"/>
      <c r="W75" s="141"/>
      <c r="X75" s="141"/>
      <c r="Y75" s="141"/>
      <c r="Z75" s="141"/>
    </row>
    <row r="76" spans="1:26" ht="12.75" x14ac:dyDescent="0.2">
      <c r="A76" s="172">
        <v>38</v>
      </c>
      <c r="B76" s="127"/>
      <c r="C76" s="128"/>
      <c r="D76" s="129"/>
      <c r="E76" s="130"/>
      <c r="F76" s="130"/>
      <c r="G76" s="131"/>
      <c r="H76" s="129"/>
      <c r="I76" s="130"/>
      <c r="J76" s="130"/>
      <c r="K76" s="131"/>
      <c r="L76" s="130"/>
      <c r="M76" s="130"/>
      <c r="N76" s="130"/>
      <c r="O76" s="131"/>
      <c r="P76" s="132"/>
      <c r="Q76" s="173"/>
      <c r="R76" s="174"/>
      <c r="S76" s="174"/>
      <c r="T76" s="133"/>
      <c r="U76" s="133"/>
      <c r="V76" s="175"/>
    </row>
    <row r="77" spans="1:26" ht="12.75" x14ac:dyDescent="0.2">
      <c r="A77" s="180"/>
      <c r="B77" s="134"/>
      <c r="C77" s="135"/>
      <c r="D77" s="136"/>
      <c r="E77" s="137"/>
      <c r="F77" s="137"/>
      <c r="G77" s="138"/>
      <c r="H77" s="136"/>
      <c r="I77" s="137"/>
      <c r="J77" s="137"/>
      <c r="K77" s="138"/>
      <c r="L77" s="137"/>
      <c r="M77" s="137"/>
      <c r="N77" s="137"/>
      <c r="O77" s="138"/>
      <c r="P77" s="139"/>
      <c r="Q77" s="165"/>
      <c r="R77" s="159"/>
      <c r="S77" s="159"/>
      <c r="T77" s="140"/>
      <c r="U77" s="140"/>
      <c r="V77" s="159"/>
      <c r="W77" s="141"/>
      <c r="X77" s="141"/>
      <c r="Y77" s="141"/>
      <c r="Z77" s="141"/>
    </row>
    <row r="78" spans="1:26" ht="12.75" x14ac:dyDescent="0.2">
      <c r="A78" s="172">
        <v>39</v>
      </c>
      <c r="B78" s="127"/>
      <c r="C78" s="128"/>
      <c r="D78" s="129"/>
      <c r="E78" s="130"/>
      <c r="F78" s="130"/>
      <c r="G78" s="131"/>
      <c r="H78" s="129"/>
      <c r="I78" s="130"/>
      <c r="J78" s="130"/>
      <c r="K78" s="131"/>
      <c r="L78" s="130"/>
      <c r="M78" s="130"/>
      <c r="N78" s="130"/>
      <c r="O78" s="131"/>
      <c r="P78" s="132"/>
      <c r="Q78" s="173"/>
      <c r="R78" s="174"/>
      <c r="S78" s="174"/>
      <c r="T78" s="133"/>
      <c r="U78" s="133"/>
      <c r="V78" s="175"/>
    </row>
    <row r="79" spans="1:26" ht="12.75" x14ac:dyDescent="0.2">
      <c r="A79" s="180"/>
      <c r="B79" s="134"/>
      <c r="C79" s="135"/>
      <c r="D79" s="136"/>
      <c r="E79" s="137"/>
      <c r="F79" s="137"/>
      <c r="G79" s="138"/>
      <c r="H79" s="136"/>
      <c r="I79" s="137"/>
      <c r="J79" s="137"/>
      <c r="K79" s="138"/>
      <c r="L79" s="137"/>
      <c r="M79" s="137"/>
      <c r="N79" s="137"/>
      <c r="O79" s="138"/>
      <c r="P79" s="139"/>
      <c r="Q79" s="165"/>
      <c r="R79" s="159"/>
      <c r="S79" s="159"/>
      <c r="T79" s="140"/>
      <c r="U79" s="140"/>
      <c r="V79" s="159"/>
      <c r="W79" s="141"/>
      <c r="X79" s="141"/>
      <c r="Y79" s="141"/>
      <c r="Z79" s="141"/>
    </row>
    <row r="80" spans="1:26" ht="12.75" x14ac:dyDescent="0.2">
      <c r="A80" s="172">
        <v>40</v>
      </c>
      <c r="B80" s="127"/>
      <c r="C80" s="128"/>
      <c r="D80" s="129"/>
      <c r="E80" s="130"/>
      <c r="F80" s="130"/>
      <c r="G80" s="131"/>
      <c r="H80" s="129"/>
      <c r="I80" s="130"/>
      <c r="J80" s="130"/>
      <c r="K80" s="131"/>
      <c r="L80" s="130"/>
      <c r="M80" s="130"/>
      <c r="N80" s="130"/>
      <c r="O80" s="131"/>
      <c r="P80" s="132"/>
      <c r="Q80" s="173"/>
      <c r="R80" s="174"/>
      <c r="S80" s="174"/>
      <c r="T80" s="133"/>
      <c r="U80" s="133"/>
      <c r="V80" s="175"/>
    </row>
    <row r="81" spans="1:26" ht="12.75" x14ac:dyDescent="0.2">
      <c r="A81" s="165"/>
      <c r="B81" s="134"/>
      <c r="C81" s="135"/>
      <c r="D81" s="136"/>
      <c r="E81" s="137"/>
      <c r="F81" s="137"/>
      <c r="G81" s="138"/>
      <c r="H81" s="137"/>
      <c r="I81" s="137"/>
      <c r="J81" s="137"/>
      <c r="K81" s="138"/>
      <c r="L81" s="137"/>
      <c r="M81" s="137"/>
      <c r="N81" s="137"/>
      <c r="O81" s="138"/>
      <c r="P81" s="139"/>
      <c r="Q81" s="165"/>
      <c r="R81" s="159"/>
      <c r="S81" s="159"/>
      <c r="T81" s="140"/>
      <c r="U81" s="140"/>
      <c r="V81" s="159"/>
      <c r="W81" s="141"/>
      <c r="X81" s="141"/>
      <c r="Y81" s="141"/>
      <c r="Z81" s="141"/>
    </row>
    <row r="82" spans="1:26" ht="12.75" x14ac:dyDescent="0.2">
      <c r="A82" s="172">
        <v>41</v>
      </c>
      <c r="B82" s="127"/>
      <c r="C82" s="128"/>
      <c r="D82" s="129"/>
      <c r="E82" s="130"/>
      <c r="F82" s="130"/>
      <c r="G82" s="131"/>
      <c r="H82" s="129"/>
      <c r="I82" s="130"/>
      <c r="J82" s="130"/>
      <c r="K82" s="131"/>
      <c r="L82" s="130"/>
      <c r="M82" s="130"/>
      <c r="N82" s="130"/>
      <c r="O82" s="131"/>
      <c r="P82" s="132"/>
      <c r="Q82" s="173"/>
      <c r="R82" s="174"/>
      <c r="S82" s="174"/>
      <c r="T82" s="133"/>
      <c r="U82" s="133"/>
      <c r="V82" s="175"/>
    </row>
    <row r="83" spans="1:26" ht="12.75" x14ac:dyDescent="0.2">
      <c r="A83" s="165"/>
      <c r="B83" s="134"/>
      <c r="C83" s="135"/>
      <c r="D83" s="136"/>
      <c r="E83" s="137"/>
      <c r="F83" s="137"/>
      <c r="G83" s="138"/>
      <c r="H83" s="137"/>
      <c r="I83" s="137"/>
      <c r="J83" s="137"/>
      <c r="K83" s="138"/>
      <c r="L83" s="137"/>
      <c r="M83" s="137"/>
      <c r="N83" s="137"/>
      <c r="O83" s="138"/>
      <c r="P83" s="139"/>
      <c r="Q83" s="165"/>
      <c r="R83" s="159"/>
      <c r="S83" s="159"/>
      <c r="T83" s="140"/>
      <c r="U83" s="140"/>
      <c r="V83" s="159"/>
    </row>
    <row r="84" spans="1:26" ht="12.75" x14ac:dyDescent="0.2">
      <c r="A84" s="172">
        <v>42</v>
      </c>
      <c r="B84" s="127"/>
      <c r="C84" s="128"/>
      <c r="D84" s="129"/>
      <c r="E84" s="130"/>
      <c r="F84" s="130"/>
      <c r="G84" s="131"/>
      <c r="H84" s="129"/>
      <c r="I84" s="130"/>
      <c r="J84" s="130"/>
      <c r="K84" s="131"/>
      <c r="L84" s="130"/>
      <c r="M84" s="130"/>
      <c r="N84" s="130"/>
      <c r="O84" s="131"/>
      <c r="P84" s="132"/>
      <c r="Q84" s="173"/>
      <c r="R84" s="174"/>
      <c r="S84" s="174"/>
      <c r="T84" s="133"/>
      <c r="U84" s="133"/>
      <c r="V84" s="175"/>
    </row>
    <row r="85" spans="1:26" ht="12.75" x14ac:dyDescent="0.2">
      <c r="A85" s="165"/>
      <c r="B85" s="134"/>
      <c r="C85" s="135"/>
      <c r="D85" s="136"/>
      <c r="E85" s="137"/>
      <c r="F85" s="137"/>
      <c r="G85" s="138"/>
      <c r="H85" s="137"/>
      <c r="I85" s="137"/>
      <c r="J85" s="137"/>
      <c r="K85" s="138"/>
      <c r="L85" s="137"/>
      <c r="M85" s="137"/>
      <c r="N85" s="137"/>
      <c r="O85" s="138"/>
      <c r="P85" s="139"/>
      <c r="Q85" s="165"/>
      <c r="R85" s="159"/>
      <c r="S85" s="159"/>
      <c r="T85" s="140"/>
      <c r="U85" s="140"/>
      <c r="V85" s="159"/>
    </row>
    <row r="86" spans="1:26" ht="12.75" x14ac:dyDescent="0.2">
      <c r="A86" s="172">
        <v>43</v>
      </c>
      <c r="B86" s="127"/>
      <c r="C86" s="128"/>
      <c r="D86" s="129"/>
      <c r="E86" s="130"/>
      <c r="F86" s="130"/>
      <c r="G86" s="131"/>
      <c r="H86" s="129"/>
      <c r="I86" s="130"/>
      <c r="J86" s="130"/>
      <c r="K86" s="131"/>
      <c r="L86" s="130"/>
      <c r="M86" s="130"/>
      <c r="N86" s="130"/>
      <c r="O86" s="131"/>
      <c r="P86" s="132"/>
      <c r="Q86" s="173"/>
      <c r="R86" s="174"/>
      <c r="S86" s="174"/>
      <c r="T86" s="133"/>
      <c r="U86" s="133"/>
      <c r="V86" s="175"/>
    </row>
    <row r="87" spans="1:26" ht="12.75" x14ac:dyDescent="0.2">
      <c r="A87" s="165"/>
      <c r="B87" s="134"/>
      <c r="C87" s="135"/>
      <c r="D87" s="136"/>
      <c r="E87" s="137"/>
      <c r="F87" s="137"/>
      <c r="G87" s="138"/>
      <c r="H87" s="137"/>
      <c r="I87" s="137"/>
      <c r="J87" s="137"/>
      <c r="K87" s="138"/>
      <c r="L87" s="137"/>
      <c r="M87" s="137"/>
      <c r="N87" s="137"/>
      <c r="O87" s="138"/>
      <c r="P87" s="139"/>
      <c r="Q87" s="165"/>
      <c r="R87" s="159"/>
      <c r="S87" s="159"/>
      <c r="T87" s="140"/>
      <c r="U87" s="140"/>
      <c r="V87" s="159"/>
    </row>
    <row r="88" spans="1:26" ht="12.75" x14ac:dyDescent="0.2">
      <c r="A88" s="172">
        <v>44</v>
      </c>
      <c r="B88" s="127"/>
      <c r="C88" s="128"/>
      <c r="D88" s="129"/>
      <c r="E88" s="130"/>
      <c r="F88" s="130"/>
      <c r="G88" s="131"/>
      <c r="H88" s="129"/>
      <c r="I88" s="130"/>
      <c r="J88" s="130"/>
      <c r="K88" s="131"/>
      <c r="L88" s="130"/>
      <c r="M88" s="130"/>
      <c r="N88" s="130"/>
      <c r="O88" s="131"/>
      <c r="P88" s="132"/>
      <c r="Q88" s="173"/>
      <c r="R88" s="174"/>
      <c r="S88" s="174"/>
      <c r="T88" s="133"/>
      <c r="U88" s="133"/>
      <c r="V88" s="175"/>
    </row>
    <row r="89" spans="1:26" ht="12.75" x14ac:dyDescent="0.2">
      <c r="A89" s="165"/>
      <c r="B89" s="134"/>
      <c r="C89" s="135"/>
      <c r="D89" s="136"/>
      <c r="E89" s="137"/>
      <c r="F89" s="137"/>
      <c r="G89" s="138"/>
      <c r="H89" s="137"/>
      <c r="I89" s="137"/>
      <c r="J89" s="137"/>
      <c r="K89" s="138"/>
      <c r="L89" s="137"/>
      <c r="M89" s="137"/>
      <c r="N89" s="137"/>
      <c r="O89" s="138"/>
      <c r="P89" s="139"/>
      <c r="Q89" s="165"/>
      <c r="R89" s="159"/>
      <c r="S89" s="159"/>
      <c r="T89" s="140"/>
      <c r="U89" s="140"/>
      <c r="V89" s="159"/>
    </row>
    <row r="90" spans="1:26" ht="12.75" x14ac:dyDescent="0.2">
      <c r="A90" s="172">
        <v>45</v>
      </c>
      <c r="B90" s="127"/>
      <c r="C90" s="128"/>
      <c r="D90" s="129"/>
      <c r="E90" s="130"/>
      <c r="F90" s="130"/>
      <c r="G90" s="131"/>
      <c r="H90" s="129"/>
      <c r="I90" s="130"/>
      <c r="J90" s="130"/>
      <c r="K90" s="131"/>
      <c r="L90" s="130"/>
      <c r="M90" s="130"/>
      <c r="N90" s="130"/>
      <c r="O90" s="131"/>
      <c r="P90" s="132"/>
      <c r="Q90" s="173"/>
      <c r="R90" s="174"/>
      <c r="S90" s="174"/>
      <c r="T90" s="133"/>
      <c r="U90" s="133"/>
      <c r="V90" s="175"/>
    </row>
    <row r="91" spans="1:26" ht="12.75" x14ac:dyDescent="0.2">
      <c r="A91" s="165"/>
      <c r="B91" s="134"/>
      <c r="C91" s="135"/>
      <c r="D91" s="136"/>
      <c r="E91" s="137"/>
      <c r="F91" s="137"/>
      <c r="G91" s="138"/>
      <c r="H91" s="137"/>
      <c r="I91" s="137"/>
      <c r="J91" s="137"/>
      <c r="K91" s="138"/>
      <c r="L91" s="137"/>
      <c r="M91" s="137"/>
      <c r="N91" s="137"/>
      <c r="O91" s="138"/>
      <c r="P91" s="139"/>
      <c r="Q91" s="165"/>
      <c r="R91" s="159"/>
      <c r="S91" s="159"/>
      <c r="T91" s="140"/>
      <c r="U91" s="140"/>
      <c r="V91" s="159"/>
    </row>
    <row r="92" spans="1:26" ht="12.75" x14ac:dyDescent="0.2">
      <c r="A92" s="172">
        <v>46</v>
      </c>
      <c r="B92" s="127"/>
      <c r="C92" s="128"/>
      <c r="D92" s="129"/>
      <c r="E92" s="130"/>
      <c r="F92" s="130"/>
      <c r="G92" s="131"/>
      <c r="H92" s="129"/>
      <c r="I92" s="130"/>
      <c r="J92" s="130"/>
      <c r="K92" s="131"/>
      <c r="L92" s="130"/>
      <c r="M92" s="130"/>
      <c r="N92" s="130"/>
      <c r="O92" s="131"/>
      <c r="P92" s="132"/>
      <c r="Q92" s="173"/>
      <c r="R92" s="174"/>
      <c r="S92" s="174"/>
      <c r="T92" s="133"/>
      <c r="U92" s="133"/>
      <c r="V92" s="175"/>
    </row>
    <row r="93" spans="1:26" ht="12.75" x14ac:dyDescent="0.2">
      <c r="A93" s="165"/>
      <c r="B93" s="134"/>
      <c r="C93" s="135"/>
      <c r="D93" s="136"/>
      <c r="E93" s="137"/>
      <c r="F93" s="137"/>
      <c r="G93" s="138"/>
      <c r="H93" s="137"/>
      <c r="I93" s="137"/>
      <c r="J93" s="137"/>
      <c r="K93" s="138"/>
      <c r="L93" s="137"/>
      <c r="M93" s="137"/>
      <c r="N93" s="137"/>
      <c r="O93" s="138"/>
      <c r="P93" s="139"/>
      <c r="Q93" s="165"/>
      <c r="R93" s="159"/>
      <c r="S93" s="159"/>
      <c r="T93" s="140"/>
      <c r="U93" s="140"/>
      <c r="V93" s="159"/>
    </row>
    <row r="94" spans="1:26" ht="12.75" x14ac:dyDescent="0.2">
      <c r="A94" s="172">
        <v>47</v>
      </c>
      <c r="B94" s="127"/>
      <c r="C94" s="128"/>
      <c r="D94" s="129"/>
      <c r="E94" s="130"/>
      <c r="F94" s="130"/>
      <c r="G94" s="131"/>
      <c r="H94" s="129"/>
      <c r="I94" s="130"/>
      <c r="J94" s="130"/>
      <c r="K94" s="131"/>
      <c r="L94" s="130"/>
      <c r="M94" s="130"/>
      <c r="N94" s="130"/>
      <c r="O94" s="131"/>
      <c r="P94" s="132"/>
      <c r="Q94" s="173"/>
      <c r="R94" s="174"/>
      <c r="S94" s="174"/>
      <c r="T94" s="133"/>
      <c r="U94" s="133"/>
      <c r="V94" s="175"/>
    </row>
    <row r="95" spans="1:26" ht="12.75" x14ac:dyDescent="0.2">
      <c r="A95" s="165"/>
      <c r="B95" s="134"/>
      <c r="C95" s="135"/>
      <c r="D95" s="136"/>
      <c r="E95" s="137"/>
      <c r="F95" s="137"/>
      <c r="G95" s="138"/>
      <c r="H95" s="137"/>
      <c r="I95" s="137"/>
      <c r="J95" s="137"/>
      <c r="K95" s="138"/>
      <c r="L95" s="137"/>
      <c r="M95" s="137"/>
      <c r="N95" s="137"/>
      <c r="O95" s="138"/>
      <c r="P95" s="139"/>
      <c r="Q95" s="165"/>
      <c r="R95" s="159"/>
      <c r="S95" s="159"/>
      <c r="T95" s="140"/>
      <c r="U95" s="140"/>
      <c r="V95" s="159"/>
    </row>
    <row r="96" spans="1:26" ht="12.75" x14ac:dyDescent="0.2">
      <c r="A96" s="172">
        <v>48</v>
      </c>
      <c r="B96" s="127"/>
      <c r="C96" s="128"/>
      <c r="D96" s="129"/>
      <c r="E96" s="130"/>
      <c r="F96" s="130"/>
      <c r="G96" s="131"/>
      <c r="H96" s="129"/>
      <c r="I96" s="130"/>
      <c r="J96" s="130"/>
      <c r="K96" s="131"/>
      <c r="L96" s="130"/>
      <c r="M96" s="130"/>
      <c r="N96" s="130"/>
      <c r="O96" s="131"/>
      <c r="P96" s="132"/>
      <c r="Q96" s="173"/>
      <c r="R96" s="174"/>
      <c r="S96" s="174"/>
      <c r="T96" s="133"/>
      <c r="U96" s="133"/>
      <c r="V96" s="175"/>
    </row>
    <row r="97" spans="1:22" ht="12.75" x14ac:dyDescent="0.2">
      <c r="A97" s="165"/>
      <c r="B97" s="134"/>
      <c r="C97" s="135"/>
      <c r="D97" s="136"/>
      <c r="E97" s="137"/>
      <c r="F97" s="137"/>
      <c r="G97" s="138"/>
      <c r="H97" s="137"/>
      <c r="I97" s="137"/>
      <c r="J97" s="137"/>
      <c r="K97" s="138"/>
      <c r="L97" s="137"/>
      <c r="M97" s="137"/>
      <c r="N97" s="137"/>
      <c r="O97" s="138"/>
      <c r="P97" s="139"/>
      <c r="Q97" s="165"/>
      <c r="R97" s="159"/>
      <c r="S97" s="159"/>
      <c r="T97" s="140"/>
      <c r="U97" s="140"/>
      <c r="V97" s="159"/>
    </row>
    <row r="98" spans="1:22" ht="12.75" x14ac:dyDescent="0.2">
      <c r="A98" s="172">
        <v>49</v>
      </c>
      <c r="B98" s="127"/>
      <c r="C98" s="128"/>
      <c r="D98" s="129"/>
      <c r="E98" s="130"/>
      <c r="F98" s="130"/>
      <c r="G98" s="131"/>
      <c r="H98" s="129"/>
      <c r="I98" s="130"/>
      <c r="J98" s="130"/>
      <c r="K98" s="131"/>
      <c r="L98" s="130"/>
      <c r="M98" s="130"/>
      <c r="N98" s="130"/>
      <c r="O98" s="131"/>
      <c r="P98" s="132"/>
      <c r="Q98" s="173"/>
      <c r="R98" s="174"/>
      <c r="S98" s="174"/>
      <c r="T98" s="133"/>
      <c r="U98" s="133"/>
      <c r="V98" s="175"/>
    </row>
    <row r="99" spans="1:22" ht="12.75" x14ac:dyDescent="0.2">
      <c r="A99" s="165"/>
      <c r="B99" s="134"/>
      <c r="C99" s="135"/>
      <c r="D99" s="136"/>
      <c r="E99" s="137"/>
      <c r="F99" s="137"/>
      <c r="G99" s="138"/>
      <c r="H99" s="137"/>
      <c r="I99" s="137"/>
      <c r="J99" s="137"/>
      <c r="K99" s="138"/>
      <c r="L99" s="137"/>
      <c r="M99" s="137"/>
      <c r="N99" s="137"/>
      <c r="O99" s="138"/>
      <c r="P99" s="139"/>
      <c r="Q99" s="165"/>
      <c r="R99" s="159"/>
      <c r="S99" s="159"/>
      <c r="T99" s="140"/>
      <c r="U99" s="140"/>
      <c r="V99" s="159"/>
    </row>
    <row r="100" spans="1:22" ht="12.75" x14ac:dyDescent="0.2">
      <c r="A100" s="172">
        <v>50</v>
      </c>
      <c r="B100" s="127"/>
      <c r="C100" s="128"/>
      <c r="D100" s="129"/>
      <c r="E100" s="130"/>
      <c r="F100" s="130"/>
      <c r="G100" s="131"/>
      <c r="H100" s="129"/>
      <c r="I100" s="130"/>
      <c r="J100" s="130"/>
      <c r="K100" s="131"/>
      <c r="L100" s="130"/>
      <c r="M100" s="130"/>
      <c r="N100" s="130"/>
      <c r="O100" s="131"/>
      <c r="P100" s="132"/>
      <c r="Q100" s="173"/>
      <c r="R100" s="174"/>
      <c r="S100" s="174"/>
      <c r="T100" s="133"/>
      <c r="U100" s="133"/>
      <c r="V100" s="175"/>
    </row>
    <row r="101" spans="1:22" ht="12.75" x14ac:dyDescent="0.2">
      <c r="A101" s="165"/>
      <c r="B101" s="134"/>
      <c r="C101" s="135"/>
      <c r="D101" s="136"/>
      <c r="E101" s="137"/>
      <c r="F101" s="137"/>
      <c r="G101" s="138"/>
      <c r="H101" s="137"/>
      <c r="I101" s="137"/>
      <c r="J101" s="137"/>
      <c r="K101" s="138"/>
      <c r="L101" s="137"/>
      <c r="M101" s="137"/>
      <c r="N101" s="137"/>
      <c r="O101" s="138"/>
      <c r="P101" s="139"/>
      <c r="Q101" s="165"/>
      <c r="R101" s="159"/>
      <c r="S101" s="159"/>
      <c r="T101" s="140"/>
      <c r="U101" s="140"/>
      <c r="V101" s="159"/>
    </row>
    <row r="102" spans="1:22" ht="12.75" x14ac:dyDescent="0.2">
      <c r="A102" s="172">
        <v>51</v>
      </c>
      <c r="B102" s="127"/>
      <c r="C102" s="128"/>
      <c r="D102" s="129"/>
      <c r="E102" s="130"/>
      <c r="F102" s="130"/>
      <c r="G102" s="131"/>
      <c r="H102" s="129"/>
      <c r="I102" s="130"/>
      <c r="J102" s="130"/>
      <c r="K102" s="131"/>
      <c r="L102" s="130"/>
      <c r="M102" s="130"/>
      <c r="N102" s="130"/>
      <c r="O102" s="131"/>
      <c r="P102" s="132"/>
      <c r="Q102" s="173"/>
      <c r="R102" s="174"/>
      <c r="S102" s="174"/>
      <c r="T102" s="133"/>
      <c r="U102" s="133"/>
      <c r="V102" s="175"/>
    </row>
    <row r="103" spans="1:22" ht="12.75" x14ac:dyDescent="0.2">
      <c r="A103" s="165"/>
      <c r="B103" s="134"/>
      <c r="C103" s="135"/>
      <c r="D103" s="136"/>
      <c r="E103" s="137"/>
      <c r="F103" s="137"/>
      <c r="G103" s="138"/>
      <c r="H103" s="137"/>
      <c r="I103" s="137"/>
      <c r="J103" s="137"/>
      <c r="K103" s="138"/>
      <c r="L103" s="137"/>
      <c r="M103" s="137"/>
      <c r="N103" s="137"/>
      <c r="O103" s="138"/>
      <c r="P103" s="139"/>
      <c r="Q103" s="165"/>
      <c r="R103" s="159"/>
      <c r="S103" s="159"/>
      <c r="T103" s="140"/>
      <c r="U103" s="140"/>
      <c r="V103" s="159"/>
    </row>
    <row r="104" spans="1:22" ht="12.75" x14ac:dyDescent="0.2">
      <c r="A104" s="172">
        <v>52</v>
      </c>
      <c r="B104" s="127"/>
      <c r="C104" s="128"/>
      <c r="D104" s="129"/>
      <c r="E104" s="130"/>
      <c r="F104" s="130"/>
      <c r="G104" s="131"/>
      <c r="H104" s="129"/>
      <c r="I104" s="130"/>
      <c r="J104" s="130"/>
      <c r="K104" s="131"/>
      <c r="L104" s="130"/>
      <c r="M104" s="130"/>
      <c r="N104" s="130"/>
      <c r="O104" s="131"/>
      <c r="P104" s="132"/>
      <c r="Q104" s="173"/>
      <c r="R104" s="174"/>
      <c r="S104" s="174"/>
      <c r="T104" s="133"/>
      <c r="U104" s="133"/>
      <c r="V104" s="175"/>
    </row>
    <row r="105" spans="1:22" ht="12.75" x14ac:dyDescent="0.2">
      <c r="A105" s="165"/>
      <c r="B105" s="134"/>
      <c r="C105" s="135"/>
      <c r="D105" s="136"/>
      <c r="E105" s="137"/>
      <c r="F105" s="137"/>
      <c r="G105" s="138"/>
      <c r="H105" s="137"/>
      <c r="I105" s="137"/>
      <c r="J105" s="137"/>
      <c r="K105" s="138"/>
      <c r="L105" s="137"/>
      <c r="M105" s="137"/>
      <c r="N105" s="137"/>
      <c r="O105" s="138"/>
      <c r="P105" s="139"/>
      <c r="Q105" s="165"/>
      <c r="R105" s="159"/>
      <c r="S105" s="159"/>
      <c r="T105" s="140"/>
      <c r="U105" s="140"/>
      <c r="V105" s="159"/>
    </row>
  </sheetData>
  <mergeCells count="260">
    <mergeCell ref="V6:V7"/>
    <mergeCell ref="V50:V51"/>
    <mergeCell ref="V12:V13"/>
    <mergeCell ref="V18:V19"/>
    <mergeCell ref="V20:V21"/>
    <mergeCell ref="Q14:Q15"/>
    <mergeCell ref="R14:R15"/>
    <mergeCell ref="S14:S15"/>
    <mergeCell ref="Q16:Q17"/>
    <mergeCell ref="R16:R17"/>
    <mergeCell ref="V14:V15"/>
    <mergeCell ref="V16:V17"/>
    <mergeCell ref="Q40:Q41"/>
    <mergeCell ref="Q42:Q43"/>
    <mergeCell ref="R42:R43"/>
    <mergeCell ref="V40:V41"/>
    <mergeCell ref="V42:V43"/>
    <mergeCell ref="S44:S45"/>
    <mergeCell ref="S42:S43"/>
    <mergeCell ref="R44:R45"/>
    <mergeCell ref="R46:R47"/>
    <mergeCell ref="V8:V9"/>
    <mergeCell ref="V10:V11"/>
    <mergeCell ref="V38:V39"/>
    <mergeCell ref="Q48:Q49"/>
    <mergeCell ref="R48:R49"/>
    <mergeCell ref="S48:S49"/>
    <mergeCell ref="V48:V49"/>
    <mergeCell ref="R24:R25"/>
    <mergeCell ref="S24:S25"/>
    <mergeCell ref="R34:R35"/>
    <mergeCell ref="S34:S35"/>
    <mergeCell ref="R36:R37"/>
    <mergeCell ref="S36:S37"/>
    <mergeCell ref="V36:V37"/>
    <mergeCell ref="Q36:Q37"/>
    <mergeCell ref="Q38:Q39"/>
    <mergeCell ref="R38:R39"/>
    <mergeCell ref="S38:S39"/>
    <mergeCell ref="Q44:Q45"/>
    <mergeCell ref="Q46:Q47"/>
    <mergeCell ref="V46:V47"/>
    <mergeCell ref="V26:V27"/>
    <mergeCell ref="V28:V29"/>
    <mergeCell ref="V30:V31"/>
    <mergeCell ref="V32:V33"/>
    <mergeCell ref="V34:V35"/>
    <mergeCell ref="V44:V45"/>
    <mergeCell ref="S22:S23"/>
    <mergeCell ref="R18:R19"/>
    <mergeCell ref="S18:S19"/>
    <mergeCell ref="Q32:Q33"/>
    <mergeCell ref="Q34:Q35"/>
    <mergeCell ref="Q6:Q7"/>
    <mergeCell ref="Q18:Q19"/>
    <mergeCell ref="Q20:Q21"/>
    <mergeCell ref="Q22:Q23"/>
    <mergeCell ref="Q24:Q25"/>
    <mergeCell ref="R30:R31"/>
    <mergeCell ref="S30:S31"/>
    <mergeCell ref="Q30:Q31"/>
    <mergeCell ref="R10:R11"/>
    <mergeCell ref="S10:S11"/>
    <mergeCell ref="R32:R33"/>
    <mergeCell ref="S32:S33"/>
    <mergeCell ref="S16:S17"/>
    <mergeCell ref="R28:R29"/>
    <mergeCell ref="S28:S29"/>
    <mergeCell ref="Q50:Q51"/>
    <mergeCell ref="V52:V53"/>
    <mergeCell ref="V54:V55"/>
    <mergeCell ref="V22:V23"/>
    <mergeCell ref="V24:V25"/>
    <mergeCell ref="R20:R21"/>
    <mergeCell ref="S20:S21"/>
    <mergeCell ref="V82:V83"/>
    <mergeCell ref="Q64:Q65"/>
    <mergeCell ref="Q66:Q67"/>
    <mergeCell ref="Q68:Q69"/>
    <mergeCell ref="Q26:Q27"/>
    <mergeCell ref="R26:R27"/>
    <mergeCell ref="S26:S27"/>
    <mergeCell ref="Q28:Q29"/>
    <mergeCell ref="Q56:Q57"/>
    <mergeCell ref="Q58:Q59"/>
    <mergeCell ref="Q60:Q61"/>
    <mergeCell ref="Q62:Q63"/>
    <mergeCell ref="Q70:Q71"/>
    <mergeCell ref="Q72:Q73"/>
    <mergeCell ref="Q74:Q75"/>
    <mergeCell ref="Q76:Q77"/>
    <mergeCell ref="R22:R23"/>
    <mergeCell ref="V58:V59"/>
    <mergeCell ref="V60:V61"/>
    <mergeCell ref="V62:V63"/>
    <mergeCell ref="V64:V65"/>
    <mergeCell ref="V66:V67"/>
    <mergeCell ref="V68:V69"/>
    <mergeCell ref="V80:V81"/>
    <mergeCell ref="R40:R41"/>
    <mergeCell ref="S40:S41"/>
    <mergeCell ref="S62:S63"/>
    <mergeCell ref="R60:R61"/>
    <mergeCell ref="S60:S61"/>
    <mergeCell ref="R68:R69"/>
    <mergeCell ref="R70:R71"/>
    <mergeCell ref="R74:R75"/>
    <mergeCell ref="R72:R73"/>
    <mergeCell ref="R62:R63"/>
    <mergeCell ref="R66:R67"/>
    <mergeCell ref="R64:R65"/>
    <mergeCell ref="R78:R79"/>
    <mergeCell ref="R76:R77"/>
    <mergeCell ref="S50:S51"/>
    <mergeCell ref="S46:S47"/>
    <mergeCell ref="V56:V57"/>
    <mergeCell ref="A16:A17"/>
    <mergeCell ref="A18:A19"/>
    <mergeCell ref="A20:A21"/>
    <mergeCell ref="A22:A23"/>
    <mergeCell ref="A24:A25"/>
    <mergeCell ref="A26:A27"/>
    <mergeCell ref="A28:A29"/>
    <mergeCell ref="A48:A49"/>
    <mergeCell ref="A50:A51"/>
    <mergeCell ref="A30:A31"/>
    <mergeCell ref="A32:A33"/>
    <mergeCell ref="A34:A35"/>
    <mergeCell ref="A36:A37"/>
    <mergeCell ref="A38:A39"/>
    <mergeCell ref="A40:A41"/>
    <mergeCell ref="A42:A43"/>
    <mergeCell ref="A44:A45"/>
    <mergeCell ref="A46:A47"/>
    <mergeCell ref="R56:R57"/>
    <mergeCell ref="R50:R51"/>
    <mergeCell ref="R54:R55"/>
    <mergeCell ref="R52:R53"/>
    <mergeCell ref="Q54:Q55"/>
    <mergeCell ref="R58:R59"/>
    <mergeCell ref="A84:A85"/>
    <mergeCell ref="A62:A63"/>
    <mergeCell ref="A64:A65"/>
    <mergeCell ref="A66:A67"/>
    <mergeCell ref="A68:A69"/>
    <mergeCell ref="A70:A71"/>
    <mergeCell ref="A72:A73"/>
    <mergeCell ref="A74:A75"/>
    <mergeCell ref="A52:A53"/>
    <mergeCell ref="A54:A55"/>
    <mergeCell ref="A56:A57"/>
    <mergeCell ref="A58:A59"/>
    <mergeCell ref="A60:A61"/>
    <mergeCell ref="A76:A77"/>
    <mergeCell ref="A78:A79"/>
    <mergeCell ref="A80:A81"/>
    <mergeCell ref="A82:A83"/>
    <mergeCell ref="Q52:Q53"/>
    <mergeCell ref="Q84:Q85"/>
    <mergeCell ref="R84:R85"/>
    <mergeCell ref="S68:S69"/>
    <mergeCell ref="S74:S75"/>
    <mergeCell ref="S72:S73"/>
    <mergeCell ref="S70:S71"/>
    <mergeCell ref="S78:S79"/>
    <mergeCell ref="S76:S77"/>
    <mergeCell ref="S80:S81"/>
    <mergeCell ref="S82:S83"/>
    <mergeCell ref="Q78:Q79"/>
    <mergeCell ref="Q80:Q81"/>
    <mergeCell ref="R80:R81"/>
    <mergeCell ref="Q82:Q83"/>
    <mergeCell ref="R82:R83"/>
    <mergeCell ref="S54:S55"/>
    <mergeCell ref="S52:S53"/>
    <mergeCell ref="S84:S85"/>
    <mergeCell ref="S86:S87"/>
    <mergeCell ref="S102:S103"/>
    <mergeCell ref="S104:S105"/>
    <mergeCell ref="S92:S93"/>
    <mergeCell ref="S58:S59"/>
    <mergeCell ref="S56:S57"/>
    <mergeCell ref="S64:S65"/>
    <mergeCell ref="S88:S89"/>
    <mergeCell ref="R98:R99"/>
    <mergeCell ref="R94:R95"/>
    <mergeCell ref="R96:R97"/>
    <mergeCell ref="A94:A95"/>
    <mergeCell ref="A86:A87"/>
    <mergeCell ref="A88:A89"/>
    <mergeCell ref="A90:A91"/>
    <mergeCell ref="A92:A93"/>
    <mergeCell ref="Q92:Q93"/>
    <mergeCell ref="R92:R93"/>
    <mergeCell ref="A96:A97"/>
    <mergeCell ref="A98:A99"/>
    <mergeCell ref="Q90:Q91"/>
    <mergeCell ref="R90:R91"/>
    <mergeCell ref="R88:R89"/>
    <mergeCell ref="A100:A101"/>
    <mergeCell ref="A102:A103"/>
    <mergeCell ref="A104:A105"/>
    <mergeCell ref="Q94:Q95"/>
    <mergeCell ref="Q96:Q97"/>
    <mergeCell ref="V94:V95"/>
    <mergeCell ref="V96:V97"/>
    <mergeCell ref="V86:V87"/>
    <mergeCell ref="V88:V89"/>
    <mergeCell ref="V90:V91"/>
    <mergeCell ref="V92:V93"/>
    <mergeCell ref="Q88:Q89"/>
    <mergeCell ref="Q102:Q103"/>
    <mergeCell ref="R102:R103"/>
    <mergeCell ref="Q104:Q105"/>
    <mergeCell ref="R104:R105"/>
    <mergeCell ref="V104:V105"/>
    <mergeCell ref="R100:R101"/>
    <mergeCell ref="Q86:Q87"/>
    <mergeCell ref="R86:R87"/>
    <mergeCell ref="Q100:Q101"/>
    <mergeCell ref="Q98:Q99"/>
    <mergeCell ref="V102:V103"/>
    <mergeCell ref="V98:V99"/>
    <mergeCell ref="V100:V101"/>
    <mergeCell ref="V70:V71"/>
    <mergeCell ref="V72:V73"/>
    <mergeCell ref="V74:V75"/>
    <mergeCell ref="V76:V77"/>
    <mergeCell ref="V78:V79"/>
    <mergeCell ref="S98:S99"/>
    <mergeCell ref="S100:S101"/>
    <mergeCell ref="S66:S67"/>
    <mergeCell ref="S90:S91"/>
    <mergeCell ref="S94:S95"/>
    <mergeCell ref="S96:S97"/>
    <mergeCell ref="V84:V85"/>
    <mergeCell ref="A14:A15"/>
    <mergeCell ref="V2:V3"/>
    <mergeCell ref="R2:R3"/>
    <mergeCell ref="S2:S3"/>
    <mergeCell ref="Q10:Q11"/>
    <mergeCell ref="Q12:Q13"/>
    <mergeCell ref="Q2:Q3"/>
    <mergeCell ref="A10:A11"/>
    <mergeCell ref="A12:A13"/>
    <mergeCell ref="Q4:Q5"/>
    <mergeCell ref="Q8:Q9"/>
    <mergeCell ref="R8:R9"/>
    <mergeCell ref="S8:S9"/>
    <mergeCell ref="S12:S13"/>
    <mergeCell ref="R6:R7"/>
    <mergeCell ref="R12:R13"/>
    <mergeCell ref="R4:R5"/>
    <mergeCell ref="S4:S5"/>
    <mergeCell ref="A2:A3"/>
    <mergeCell ref="A4:A5"/>
    <mergeCell ref="A6:A7"/>
    <mergeCell ref="A8:A9"/>
    <mergeCell ref="S6:S7"/>
    <mergeCell ref="V4:V5"/>
  </mergeCells>
  <conditionalFormatting sqref="Q1:Q1000">
    <cfRule type="cellIs" dxfId="4" priority="1" operator="between">
      <formula>900</formula>
      <formula>999</formula>
    </cfRule>
    <cfRule type="cellIs" dxfId="3" priority="2" operator="between">
      <formula>800</formula>
      <formula>900</formula>
    </cfRule>
    <cfRule type="cellIs" dxfId="2" priority="5" operator="greaterThanOrEqual">
      <formula>1000</formula>
    </cfRule>
  </conditionalFormatting>
  <conditionalFormatting sqref="V1:V1000">
    <cfRule type="cellIs" dxfId="1" priority="3" operator="equal">
      <formula>"Š"</formula>
    </cfRule>
    <cfRule type="cellIs" dxfId="0" priority="4" operator="equal">
      <formula>"TV"</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2025</vt:lpstr>
      <vt:lpstr>Muži</vt:lpstr>
      <vt:lpstr>Ženy</vt:lpstr>
      <vt:lpstr>Smíšené</vt:lpstr>
      <vt:lpstr>Neregistrovaní</vt:lpstr>
      <vt:lpstr>Vše</vt:lpstr>
      <vt:lpstr>TV</vt:lpstr>
      <vt:lpstr>'2025'!Excel_BuiltIn__FilterDatabase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Hlisnikovský Petr Mgr.</dc:creator>
  <cp:lastModifiedBy>Karel Hlisnikovský</cp:lastModifiedBy>
  <dcterms:created xsi:type="dcterms:W3CDTF">2025-05-27T04:57:34Z</dcterms:created>
  <dcterms:modified xsi:type="dcterms:W3CDTF">2025-05-27T15:08:54Z</dcterms:modified>
</cp:coreProperties>
</file>